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D1059DEF-BC71-465C-B0BC-CA6C7F976B1A}" xr6:coauthVersionLast="45" xr6:coauthVersionMax="46" xr10:uidLastSave="{00000000-0000-0000-0000-000000000000}"/>
  <bookViews>
    <workbookView xWindow="-120" yWindow="-120" windowWidth="29040" windowHeight="15840" xr2:uid="{00000000-000D-0000-FFFF-FFFF00000000}"/>
  </bookViews>
  <sheets>
    <sheet name="1) Program 2" sheetId="3" r:id="rId1"/>
    <sheet name="2) Program 4" sheetId="12" r:id="rId2"/>
    <sheet name="3) Program 6" sheetId="13" r:id="rId3"/>
    <sheet name="4) Program 7" sheetId="14" r:id="rId4"/>
    <sheet name="5) Program 8" sheetId="15" r:id="rId5"/>
    <sheet name="6) Program 9" sheetId="16" r:id="rId6"/>
    <sheet name="7) Program 10" sheetId="18" r:id="rId7"/>
    <sheet name="8) Program 12" sheetId="19" r:id="rId8"/>
    <sheet name="Category Definitions" sheetId="2"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6" l="1"/>
  <c r="G28" i="16"/>
  <c r="H27" i="16"/>
  <c r="G27" i="16"/>
  <c r="H26" i="15"/>
  <c r="H25" i="15"/>
  <c r="H33" i="14"/>
  <c r="G33" i="14"/>
  <c r="H32" i="14"/>
  <c r="G32" i="14"/>
  <c r="H31" i="14"/>
  <c r="G31" i="14"/>
  <c r="H30" i="14"/>
  <c r="H28" i="14"/>
  <c r="G28" i="14"/>
  <c r="H27" i="14"/>
  <c r="G27" i="14"/>
  <c r="H26" i="14"/>
  <c r="G26" i="14"/>
  <c r="H25" i="14"/>
  <c r="G25" i="14"/>
  <c r="H24" i="14"/>
  <c r="G24" i="14"/>
  <c r="G40" i="13"/>
  <c r="H39" i="13"/>
  <c r="G39" i="13"/>
  <c r="G38" i="13"/>
  <c r="G35" i="13"/>
  <c r="G31" i="13"/>
  <c r="G29" i="13"/>
  <c r="G28" i="13"/>
  <c r="G27" i="13"/>
  <c r="H26" i="13"/>
  <c r="G25" i="13"/>
  <c r="G24" i="13"/>
  <c r="G26" i="12"/>
  <c r="G24" i="12"/>
  <c r="G24" i="3"/>
  <c r="H28" i="12"/>
  <c r="H25" i="12"/>
  <c r="H24" i="12"/>
  <c r="H24" i="3"/>
  <c r="H25" i="19" l="1"/>
  <c r="H26" i="18"/>
  <c r="H45" i="19" l="1"/>
  <c r="G45" i="19"/>
  <c r="F45" i="19"/>
  <c r="E45" i="19"/>
  <c r="F24" i="15"/>
  <c r="H24" i="15" s="1"/>
  <c r="H46" i="19" l="1"/>
  <c r="G46" i="19"/>
  <c r="H45" i="18" l="1"/>
  <c r="G45" i="18"/>
  <c r="F45" i="18"/>
  <c r="E45" i="18"/>
  <c r="H45" i="16"/>
  <c r="G45" i="16"/>
  <c r="F45" i="16"/>
  <c r="E45" i="16"/>
  <c r="E30" i="14"/>
  <c r="G30" i="14" s="1"/>
  <c r="E37" i="13"/>
  <c r="G37" i="13" s="1"/>
  <c r="E36" i="13"/>
  <c r="G36" i="13" s="1"/>
  <c r="G46" i="18" l="1"/>
  <c r="H46" i="18"/>
  <c r="H46" i="16"/>
  <c r="G46" i="16"/>
  <c r="H36" i="13"/>
  <c r="H40" i="13" l="1"/>
  <c r="H37" i="13"/>
  <c r="H38" i="13"/>
  <c r="H35" i="13"/>
  <c r="H31" i="13"/>
  <c r="H30" i="13"/>
  <c r="H28" i="13"/>
  <c r="H29" i="13"/>
  <c r="H24" i="13"/>
  <c r="H25" i="13"/>
  <c r="H27" i="13"/>
  <c r="H45" i="15" l="1"/>
  <c r="G45" i="15"/>
  <c r="F45" i="15"/>
  <c r="E45" i="15"/>
  <c r="G46" i="15" l="1"/>
  <c r="H46" i="15"/>
  <c r="H45" i="14"/>
  <c r="G45" i="14"/>
  <c r="F45" i="14"/>
  <c r="E45" i="14"/>
  <c r="H45" i="13"/>
  <c r="G45" i="13"/>
  <c r="F45" i="13"/>
  <c r="E45" i="13"/>
  <c r="H45" i="12"/>
  <c r="G45" i="12"/>
  <c r="F45" i="12"/>
  <c r="E45" i="12"/>
  <c r="G46" i="12" l="1"/>
  <c r="G46" i="13"/>
  <c r="G46" i="14"/>
  <c r="H46" i="12"/>
  <c r="H46" i="13"/>
  <c r="H46" i="14"/>
  <c r="E45" i="3"/>
  <c r="G45" i="3"/>
  <c r="F45" i="3" l="1"/>
  <c r="G46" i="3"/>
  <c r="H45" i="3"/>
  <c r="H46" i="3" l="1"/>
</calcChain>
</file>

<file path=xl/sharedStrings.xml><?xml version="1.0" encoding="utf-8"?>
<sst xmlns="http://schemas.openxmlformats.org/spreadsheetml/2006/main" count="456" uniqueCount="146">
  <si>
    <t>Student Opportunity Plans - Long Form Budget: Year 0 and Year 1</t>
  </si>
  <si>
    <t>Evidence-Based Program Identified by the Commissioner (Pull-Down Menu)</t>
  </si>
  <si>
    <t>2.      Research-based early literacy programs in pre-kindergarten and early elementary grades</t>
  </si>
  <si>
    <t>SOA Evidence-Based Program Category (Primary)</t>
  </si>
  <si>
    <t>G) Expanding early education and pre-kindergarten programming within the district in consultation or in partnership with community-based organizations</t>
  </si>
  <si>
    <t>SOA Evidence-Based Program Category (Secondary) - Optional</t>
  </si>
  <si>
    <t>Program Description</t>
  </si>
  <si>
    <t>This program is will increase a part time librarian position to full time at the library shared by 4 elementary schools (approximately 2,200 students) and provide a stipend for a districtwide library lead.  These efforts will encourage use of the libraries by teachers and students, with a focus on early grades.</t>
  </si>
  <si>
    <t>Name of Impacted Schools or Indicate if District-Wide Program</t>
  </si>
  <si>
    <t>Elementary schools and District-Wide</t>
  </si>
  <si>
    <t>Key Activity/Expenditure Description</t>
  </si>
  <si>
    <t>Foundation Budget Functional Category</t>
  </si>
  <si>
    <t>Expenditure Category</t>
  </si>
  <si>
    <t>Ongoing Expense?</t>
  </si>
  <si>
    <t>Year 0 (FY20)</t>
  </si>
  <si>
    <t>Year 1 (FY21)</t>
  </si>
  <si>
    <t>(Pull-Down Menu)</t>
  </si>
  <si>
    <t>(Yes/No)</t>
  </si>
  <si>
    <t>FTE</t>
  </si>
  <si>
    <t>Budget Amount</t>
  </si>
  <si>
    <t>Increase elementary school librarian from 0.25 to 1.0 fte</t>
  </si>
  <si>
    <t>Other Teaching Services</t>
  </si>
  <si>
    <t>Salaries - Instructional</t>
  </si>
  <si>
    <t>Yes</t>
  </si>
  <si>
    <t>Add districtwide stipend for lead school librarian</t>
  </si>
  <si>
    <t>Stipends</t>
  </si>
  <si>
    <t>TOTAL</t>
  </si>
  <si>
    <t>YEAR 1 INCREMENTAL TOTAL</t>
  </si>
  <si>
    <t>4.      Supporting educators to implement high-quality, aligned curriculum</t>
  </si>
  <si>
    <t>F) Purchase of curriculum materials and equipment that are aligned with the statewide curricular frameworks</t>
  </si>
  <si>
    <t>E) Increased or improved professional development</t>
  </si>
  <si>
    <t>Curriculum efforts will be enhanced through the addition of 3 computer technicians to support equipment used by teachers and students, an early grades STEM coach to enhance offerings at the PK-1 grade level, and a special education coach to strengthen the special education department and further improve inclusion and instruction at grades 9-12.  The two stipends for Chelsea High School will help coordinate the important iBlock learning opportunity and will enhance data analysis in the upper grades. A modest increase in funding for computer equipment is also planned.</t>
  </si>
  <si>
    <t>Early Learning Center, Chelsea High School, and District-Wide</t>
  </si>
  <si>
    <t>Computer Technician</t>
  </si>
  <si>
    <t>Operations &amp; Maintenance</t>
  </si>
  <si>
    <t>Salaries - Other</t>
  </si>
  <si>
    <t>Computer Equipment, software, networking</t>
  </si>
  <si>
    <t>Supplies &amp; Materials</t>
  </si>
  <si>
    <t>Teacher, Coach STEM (ELC)</t>
  </si>
  <si>
    <t>Instructional Leadership</t>
  </si>
  <si>
    <t>Teacher, Coach, Special Education inclusion (CHS)</t>
  </si>
  <si>
    <t>Stipends for iBlock and data leads (CHS)</t>
  </si>
  <si>
    <t>Classroom &amp; Specialist Teachers</t>
  </si>
  <si>
    <t>6.      Increased personnel and services to support holistic student needs</t>
  </si>
  <si>
    <t>D) Hiring school personnel that best support improved student performance</t>
  </si>
  <si>
    <t>C) Social services to support students' social-emotional and physical health</t>
  </si>
  <si>
    <t>A total of 29 FTE are included in this program including districtwide special education staffing, additional school nurses and social workers, teachers at the middle school level to "redirect" students experiencing challenges participating in their classrooms, building subs to increase continuity in instruction when teachers are absent, and staffing for the expansion of the dual language program. Upper grade students will receive additional support through the addition of a dean and additional subject area teachers to increase offerings and reduce class size.</t>
  </si>
  <si>
    <t>District-Wide</t>
  </si>
  <si>
    <t>Board Certified Behavioral Analyst (BCBA)</t>
  </si>
  <si>
    <t>Speech Therapist</t>
  </si>
  <si>
    <t>Special Ed Assistant Director</t>
  </si>
  <si>
    <t>Administration</t>
  </si>
  <si>
    <t>Salaries - Administrator</t>
  </si>
  <si>
    <t>School Nurse</t>
  </si>
  <si>
    <t>Pupil Services</t>
  </si>
  <si>
    <t>No</t>
  </si>
  <si>
    <t>Social Worker</t>
  </si>
  <si>
    <t>Guidance &amp; Psychological</t>
  </si>
  <si>
    <t>Teacher, Coach, Special Education inclusion (ELC)</t>
  </si>
  <si>
    <t>Teacher, Redirect (BMS, CAMS, WSTA)</t>
  </si>
  <si>
    <t>Building Substitute Teacher (BMS, CAMS, WSTA)</t>
  </si>
  <si>
    <t>Teacher, History, Dual Language (BMS)</t>
  </si>
  <si>
    <t>Paraprofessional, Dual Language (BMS)</t>
  </si>
  <si>
    <t>Paraprofessional, Inclusion (BMS)</t>
  </si>
  <si>
    <t>Dean of Students (CHS)</t>
  </si>
  <si>
    <t>Teacher, Math (CHS)</t>
  </si>
  <si>
    <t>Teacher, Science (CHS)</t>
  </si>
  <si>
    <t>Teacher, Health / PE (CHS)</t>
  </si>
  <si>
    <t>Paraprofessional, Social Communication (autism) (CHS)</t>
  </si>
  <si>
    <t>Teacher, Science, Technology, Engineering, Math (COA)</t>
  </si>
  <si>
    <t>Grade Level Lead Stipends (CHS)</t>
  </si>
  <si>
    <t xml:space="preserve">7.      Inclusion/co-teaching for students with disabilities and English learners </t>
  </si>
  <si>
    <t>A total of 19 FTE are included in this program to support students with disabilities and EL students.  These will be distributed across all grade levels. A unique addition is a new Coach focusing on Reading, Literacy, and STEM for special education students at the middle school level.</t>
  </si>
  <si>
    <t>Teacher, ELL (ELC)</t>
  </si>
  <si>
    <t>Teacher, ELL (all 4 elementary schools)</t>
  </si>
  <si>
    <t>Teacher, Special Education inclusion (all 4 elementary schools)</t>
  </si>
  <si>
    <t>Teacher, ELL (all 3 middle schools)</t>
  </si>
  <si>
    <t>Teacher, Special Education inclusion (all 3 middle schools)</t>
  </si>
  <si>
    <t>Teacher, Coach, Reading-Literacy-STEM (WSTA)</t>
  </si>
  <si>
    <t>Teacher, ELL (CHS)</t>
  </si>
  <si>
    <t>Teacher, Special Education inclusion (CHS)</t>
  </si>
  <si>
    <t>Teacher, ELL (COA)</t>
  </si>
  <si>
    <t>Teacher, Special Education inclusion (COA)</t>
  </si>
  <si>
    <t xml:space="preserve">8.      Acceleration Academies and/or summer learning to support skill development and accelerate advanced learners </t>
  </si>
  <si>
    <t>A) Expanded learning time in the form of a longer school day or school year</t>
  </si>
  <si>
    <t>This program will significantly expand funding for summer school and school break programming.</t>
  </si>
  <si>
    <t>Increase summer school / school break capacity (elementary)</t>
  </si>
  <si>
    <t>Increase summer school / school break capacity (middle schools)</t>
  </si>
  <si>
    <t>Increase summer school capacity / school break (high school)</t>
  </si>
  <si>
    <t xml:space="preserve">9.      Dropout prevention and recovery programs </t>
  </si>
  <si>
    <t>I) Developing additional pathways to strengthen college and career readiness</t>
  </si>
  <si>
    <t>Identifying a site to relocate the Chelsea Opportunity Academy, ideally to be co-located with the District's adult education program (Intergenerational Literacy Program) is needed to expend enrollment and free up space at CHS for high school classes. This program will assist in providing funding for rent, staffing, and supplies for any new site.</t>
  </si>
  <si>
    <t>Chelsea Opportunity Academy, Intergenerational Literacy Program</t>
  </si>
  <si>
    <t>Data Management Specialist (COA)</t>
  </si>
  <si>
    <t xml:space="preserve">Other </t>
  </si>
  <si>
    <t>Salaries - Clerical/Support</t>
  </si>
  <si>
    <t>Facility Rent (for new facility for COA &amp; ILP)</t>
  </si>
  <si>
    <t>Other Costs</t>
  </si>
  <si>
    <t>Cleaning and maintenance supplies (new facility for COA &amp; ILP)</t>
  </si>
  <si>
    <t>Building Maintenance Man (for new facility for COA &amp; ILP)</t>
  </si>
  <si>
    <t>Security Monitor (for new facility for COA &amp; ILP)</t>
  </si>
  <si>
    <t>10.   Diversifying the educator/administrator workforce through recruitment and retention</t>
  </si>
  <si>
    <t>H) Diversifying the educator and administrator workforce</t>
  </si>
  <si>
    <t>Diversifying the educator/administrator workforce is a high priority for the District and this program will support that effort by helping to enhance salaries.</t>
  </si>
  <si>
    <t>Recruitment &amp; Retention Specialist</t>
  </si>
  <si>
    <t>Salaries in support of increased diversity (admininistrators)</t>
  </si>
  <si>
    <t>Salaries in support of increased diversity (instructional)</t>
  </si>
  <si>
    <t>12.   Increased staffing to expand student access to arts, athletics, and enrichment, and strategic scheduling to enable common planning time for teachers</t>
  </si>
  <si>
    <t>B) Increased opportunity for common planning time for teachers</t>
  </si>
  <si>
    <t>This program will help expand common planing time and hire and retain the best personnel by helping to enhance salaries.</t>
  </si>
  <si>
    <t>Salaries in support of common planning time (admininistrators)</t>
  </si>
  <si>
    <t>Salaries in support of common planning time (instructional)</t>
  </si>
  <si>
    <t>Foundation Budget Functional Categories</t>
  </si>
  <si>
    <t>Benefits</t>
  </si>
  <si>
    <t xml:space="preserve">Capital Expenditures </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</si>
  <si>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</si>
  <si>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Contractual Services</t>
  </si>
  <si>
    <r>
      <t>2.</t>
    </r>
    <r>
      <rPr>
        <sz val="7"/>
        <color rgb="FF000000"/>
        <rFont val="Times New Roman"/>
        <family val="1"/>
      </rPr>
      <t>      </t>
    </r>
    <r>
      <rPr>
        <b/>
        <sz val="10.5"/>
        <color rgb="FF000000"/>
        <rFont val="Calibri"/>
        <family val="2"/>
        <scheme val="minor"/>
      </rPr>
      <t>Research-based early literacy programs in pre-kindergarten and early elementary grades</t>
    </r>
  </si>
  <si>
    <r>
      <t>3.</t>
    </r>
    <r>
      <rPr>
        <sz val="7"/>
        <color rgb="FF000000"/>
        <rFont val="Times New Roman"/>
        <family val="1"/>
      </rPr>
      <t>      </t>
    </r>
    <r>
      <rPr>
        <b/>
        <sz val="10.5"/>
        <color rgb="FF000000"/>
        <rFont val="Calibri"/>
        <family val="2"/>
        <scheme val="minor"/>
      </rPr>
      <t>Early College programs focused primarily on students under-represented in higher education</t>
    </r>
  </si>
  <si>
    <r>
      <t>4.</t>
    </r>
    <r>
      <rPr>
        <sz val="7"/>
        <color rgb="FF000000"/>
        <rFont val="Times New Roman"/>
        <family val="1"/>
      </rPr>
      <t>      </t>
    </r>
    <r>
      <rPr>
        <sz val="10.5"/>
        <color rgb="FF000000"/>
        <rFont val="Calibri"/>
        <family val="2"/>
        <scheme val="minor"/>
      </rPr>
      <t>Supporting educators to implement high-quality, aligned curriculum</t>
    </r>
  </si>
  <si>
    <t>Professional Development</t>
  </si>
  <si>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</si>
  <si>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t>Instructional Materials, Equipment &amp; Technology</t>
  </si>
  <si>
    <r>
      <t>6.</t>
    </r>
    <r>
      <rPr>
        <sz val="7"/>
        <color rgb="FF000000"/>
        <rFont val="Times New Roman"/>
        <family val="1"/>
      </rPr>
      <t>      </t>
    </r>
    <r>
      <rPr>
        <sz val="10.5"/>
        <color rgb="FF000000"/>
        <rFont val="Calibri"/>
        <family val="2"/>
        <scheme val="minor"/>
      </rPr>
      <t>Increased personnel and services to support holistic student needs</t>
    </r>
  </si>
  <si>
    <r>
      <t>7.</t>
    </r>
    <r>
      <rPr>
        <sz val="7"/>
        <color rgb="FF000000"/>
        <rFont val="Times New Roman"/>
        <family val="1"/>
      </rPr>
      <t>      </t>
    </r>
    <r>
      <rPr>
        <sz val="10.5"/>
        <color rgb="FF000000"/>
        <rFont val="Calibri"/>
        <family val="2"/>
        <scheme val="minor"/>
      </rPr>
      <t xml:space="preserve">Inclusion/co-teaching for students with disabilities and English learners </t>
    </r>
  </si>
  <si>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</si>
  <si>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t>Travel</t>
  </si>
  <si>
    <r>
      <t>9.</t>
    </r>
    <r>
      <rPr>
        <sz val="7"/>
        <color rgb="FF000000"/>
        <rFont val="Times New Roman"/>
        <family val="1"/>
      </rPr>
      <t>      </t>
    </r>
    <r>
      <rPr>
        <sz val="10.5"/>
        <color rgb="FF000000"/>
        <rFont val="Calibri"/>
        <family val="2"/>
        <scheme val="minor"/>
      </rPr>
      <t xml:space="preserve">Dropout prevention and recovery programs </t>
    </r>
  </si>
  <si>
    <t>Employee Benefits / Fixed Charges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</si>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</sst>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b/>
      <sz val="11"/>
      <color rgb="FF00B050"/>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sz val="11"/>
      <name val="Calibri"/>
      <family val="2"/>
      <scheme val="minor"/>
    </font>
    <font>
      <b/>
      <sz val="11"/>
      <color rgb="FF0070C0"/>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92">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9" fillId="0" borderId="0" xfId="0" applyFont="1" applyAlignment="1">
      <alignment horizontal="left" vertical="center" wrapText="1"/>
    </xf>
    <xf numFmtId="0" fontId="11" fillId="0" borderId="0" xfId="0" applyFont="1" applyAlignment="1">
      <alignment horizontal="left" vertical="center" wrapText="1"/>
    </xf>
    <xf numFmtId="0" fontId="3" fillId="6" borderId="0" xfId="0" applyFont="1" applyFill="1" applyAlignment="1">
      <alignment vertical="center" wrapText="1"/>
    </xf>
    <xf numFmtId="2" fontId="0" fillId="4" borderId="16" xfId="0" applyNumberFormat="1" applyFill="1" applyBorder="1" applyAlignment="1">
      <alignment horizontal="center"/>
    </xf>
    <xf numFmtId="2" fontId="0" fillId="4" borderId="21" xfId="0" applyNumberFormat="1" applyFill="1" applyBorder="1" applyAlignment="1">
      <alignment horizontal="center"/>
    </xf>
    <xf numFmtId="164" fontId="1" fillId="3" borderId="0" xfId="0" applyNumberFormat="1" applyFont="1" applyFill="1" applyBorder="1"/>
    <xf numFmtId="4" fontId="1" fillId="3" borderId="0" xfId="0" applyNumberFormat="1" applyFont="1" applyFill="1" applyBorder="1"/>
    <xf numFmtId="164" fontId="0" fillId="3" borderId="0" xfId="0" applyNumberFormat="1" applyFont="1" applyFill="1" applyBorder="1"/>
    <xf numFmtId="3" fontId="8" fillId="3" borderId="0" xfId="0" applyNumberFormat="1" applyFont="1" applyFill="1" applyBorder="1"/>
    <xf numFmtId="3" fontId="0" fillId="7" borderId="0" xfId="0" applyNumberFormat="1" applyFill="1"/>
    <xf numFmtId="0" fontId="0" fillId="7" borderId="0" xfId="0" applyFill="1"/>
    <xf numFmtId="3" fontId="5" fillId="7" borderId="0" xfId="0" applyNumberFormat="1" applyFont="1" applyFill="1"/>
    <xf numFmtId="0" fontId="12" fillId="4" borderId="9" xfId="0" applyFont="1" applyFill="1"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3" fontId="13" fillId="3" borderId="28" xfId="0" applyNumberFormat="1" applyFont="1" applyFill="1" applyBorder="1"/>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2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12"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03187" y="301625"/>
          <a:ext cx="12080875" cy="1150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11549071" y="301619"/>
          <a:ext cx="2478405" cy="12141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03187" y="292100"/>
          <a:ext cx="11107420" cy="1079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74621</xdr:colOff>
      <xdr:row>7</xdr:row>
      <xdr:rowOff>132709</xdr:rowOff>
    </xdr:to>
    <xdr:pic>
      <xdr:nvPicPr>
        <xdr:cNvPr id="3" name="Picture 2" descr="ESE logo">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srcRect/>
        <a:stretch>
          <a:fillRect/>
        </a:stretch>
      </xdr:blipFill>
      <xdr:spPr bwMode="auto">
        <a:xfrm>
          <a:off x="11343966" y="292094"/>
          <a:ext cx="2431415" cy="116649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103187" y="292100"/>
          <a:ext cx="11107420" cy="1079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44141</xdr:colOff>
      <xdr:row>8</xdr:row>
      <xdr:rowOff>178429</xdr:rowOff>
    </xdr:to>
    <xdr:pic>
      <xdr:nvPicPr>
        <xdr:cNvPr id="3" name="Picture 2" descr="ESE logo">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rcRect/>
        <a:stretch>
          <a:fillRect/>
        </a:stretch>
      </xdr:blipFill>
      <xdr:spPr bwMode="auto">
        <a:xfrm>
          <a:off x="11343966" y="292094"/>
          <a:ext cx="2400935" cy="139509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03187" y="292100"/>
          <a:ext cx="11107420" cy="1079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44141</xdr:colOff>
      <xdr:row>8</xdr:row>
      <xdr:rowOff>178429</xdr:rowOff>
    </xdr:to>
    <xdr:pic>
      <xdr:nvPicPr>
        <xdr:cNvPr id="3" name="Picture 2" descr="ESE logo">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rcRect/>
        <a:stretch>
          <a:fillRect/>
        </a:stretch>
      </xdr:blipFill>
      <xdr:spPr bwMode="auto">
        <a:xfrm>
          <a:off x="11343966" y="292094"/>
          <a:ext cx="2400935" cy="139509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03187" y="292100"/>
          <a:ext cx="11107420" cy="1079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13661</xdr:colOff>
      <xdr:row>10</xdr:row>
      <xdr:rowOff>41269</xdr:rowOff>
    </xdr:to>
    <xdr:pic>
      <xdr:nvPicPr>
        <xdr:cNvPr id="3" name="Picture 2" descr="ESE logo">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rcRect/>
        <a:stretch>
          <a:fillRect/>
        </a:stretch>
      </xdr:blipFill>
      <xdr:spPr bwMode="auto">
        <a:xfrm>
          <a:off x="11343966" y="292094"/>
          <a:ext cx="2370455" cy="16236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tabSelected="1"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9" width="8.7109375" style="2"/>
    <col min="10" max="10" width="8.85546875" style="2" bestFit="1" customWidth="1"/>
    <col min="11"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5" t="s">
        <v>1</v>
      </c>
      <c r="B8" s="81" t="s">
        <v>2</v>
      </c>
      <c r="C8" s="82"/>
      <c r="D8" s="29"/>
    </row>
    <row r="9" spans="1:4" x14ac:dyDescent="0.25">
      <c r="A9" s="76"/>
      <c r="B9" s="83"/>
      <c r="C9" s="84"/>
      <c r="D9" s="29"/>
    </row>
    <row r="10" spans="1:4" x14ac:dyDescent="0.25">
      <c r="A10" s="75" t="s">
        <v>3</v>
      </c>
      <c r="B10" s="81" t="s">
        <v>4</v>
      </c>
      <c r="C10" s="82"/>
      <c r="D10" s="29"/>
    </row>
    <row r="11" spans="1:4" x14ac:dyDescent="0.25">
      <c r="A11" s="76"/>
      <c r="B11" s="83"/>
      <c r="C11" s="84"/>
      <c r="D11" s="29"/>
    </row>
    <row r="12" spans="1:4" x14ac:dyDescent="0.25">
      <c r="A12" s="75" t="s">
        <v>5</v>
      </c>
      <c r="B12" s="81"/>
      <c r="C12" s="82"/>
    </row>
    <row r="13" spans="1:4" x14ac:dyDescent="0.25">
      <c r="A13" s="76"/>
      <c r="B13" s="83"/>
      <c r="C13" s="84"/>
    </row>
    <row r="14" spans="1:4" x14ac:dyDescent="0.25">
      <c r="A14" s="79" t="s">
        <v>6</v>
      </c>
      <c r="B14" s="86" t="s">
        <v>7</v>
      </c>
      <c r="C14" s="87"/>
      <c r="D14" s="16"/>
    </row>
    <row r="15" spans="1:4" x14ac:dyDescent="0.25">
      <c r="A15" s="85"/>
      <c r="B15" s="88"/>
      <c r="C15" s="89"/>
      <c r="D15" s="16"/>
    </row>
    <row r="16" spans="1:4" x14ac:dyDescent="0.25">
      <c r="A16" s="85"/>
      <c r="B16" s="88"/>
      <c r="C16" s="89"/>
      <c r="D16" s="16"/>
    </row>
    <row r="17" spans="1:8" x14ac:dyDescent="0.25">
      <c r="A17" s="85"/>
      <c r="B17" s="88"/>
      <c r="C17" s="89"/>
      <c r="D17" s="16"/>
    </row>
    <row r="18" spans="1:8" x14ac:dyDescent="0.25">
      <c r="A18" s="80"/>
      <c r="B18" s="90"/>
      <c r="C18" s="91"/>
      <c r="E18" s="44"/>
      <c r="F18" s="5"/>
    </row>
    <row r="19" spans="1:8" x14ac:dyDescent="0.25">
      <c r="A19" s="79" t="s">
        <v>8</v>
      </c>
      <c r="B19" s="68" t="s">
        <v>9</v>
      </c>
      <c r="C19" s="69"/>
      <c r="D19" s="16"/>
    </row>
    <row r="20" spans="1:8" x14ac:dyDescent="0.25">
      <c r="A20" s="80"/>
      <c r="B20" s="70"/>
      <c r="C20" s="71"/>
      <c r="E20" s="44"/>
      <c r="F20" s="5"/>
    </row>
    <row r="21" spans="1:8" ht="15.75" thickBot="1" x14ac:dyDescent="0.3">
      <c r="A21" s="7"/>
      <c r="B21" s="5"/>
    </row>
    <row r="22" spans="1:8" ht="14.85" customHeight="1" x14ac:dyDescent="0.25">
      <c r="A22" s="77" t="s">
        <v>10</v>
      </c>
      <c r="B22" s="65" t="s">
        <v>11</v>
      </c>
      <c r="C22" s="10" t="s">
        <v>12</v>
      </c>
      <c r="D22" s="22" t="s">
        <v>13</v>
      </c>
      <c r="E22" s="72" t="s">
        <v>14</v>
      </c>
      <c r="F22" s="73"/>
      <c r="G22" s="74" t="s">
        <v>15</v>
      </c>
      <c r="H22" s="73"/>
    </row>
    <row r="23" spans="1:8" s="6" customFormat="1" x14ac:dyDescent="0.25">
      <c r="A23" s="78"/>
      <c r="B23" s="66" t="s">
        <v>16</v>
      </c>
      <c r="C23" s="11" t="s">
        <v>16</v>
      </c>
      <c r="D23" s="23" t="s">
        <v>17</v>
      </c>
      <c r="E23" s="45" t="s">
        <v>18</v>
      </c>
      <c r="F23" s="24" t="s">
        <v>19</v>
      </c>
      <c r="G23" s="37" t="s">
        <v>18</v>
      </c>
      <c r="H23" s="27" t="s">
        <v>19</v>
      </c>
    </row>
    <row r="24" spans="1:8" x14ac:dyDescent="0.25">
      <c r="A24" s="21" t="s">
        <v>20</v>
      </c>
      <c r="B24" s="9" t="s">
        <v>21</v>
      </c>
      <c r="C24" s="4" t="s">
        <v>22</v>
      </c>
      <c r="D24" s="30" t="s">
        <v>23</v>
      </c>
      <c r="E24" s="56">
        <v>0.25</v>
      </c>
      <c r="F24" s="33">
        <v>16475</v>
      </c>
      <c r="G24" s="55">
        <f>0.75+E24</f>
        <v>1</v>
      </c>
      <c r="H24" s="33">
        <f>49425+F24</f>
        <v>65900</v>
      </c>
    </row>
    <row r="25" spans="1:8" x14ac:dyDescent="0.25">
      <c r="A25" s="21" t="s">
        <v>24</v>
      </c>
      <c r="B25" s="9" t="s">
        <v>21</v>
      </c>
      <c r="C25" s="4" t="s">
        <v>25</v>
      </c>
      <c r="D25" s="30" t="s">
        <v>23</v>
      </c>
      <c r="E25" s="39">
        <v>0</v>
      </c>
      <c r="F25" s="33">
        <v>0</v>
      </c>
      <c r="G25" s="38"/>
      <c r="H25" s="33">
        <v>5000</v>
      </c>
    </row>
    <row r="26" spans="1:8" x14ac:dyDescent="0.25">
      <c r="A26" s="21"/>
      <c r="B26" s="9"/>
      <c r="C26" s="4"/>
      <c r="D26" s="30"/>
      <c r="E26" s="39"/>
      <c r="F26" s="33"/>
      <c r="G26" s="39"/>
      <c r="H26" s="33"/>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11" x14ac:dyDescent="0.25">
      <c r="A33" s="21"/>
      <c r="B33" s="9"/>
      <c r="C33" s="4"/>
      <c r="D33" s="30"/>
      <c r="E33" s="39"/>
      <c r="F33" s="25"/>
      <c r="G33" s="38"/>
      <c r="H33" s="33"/>
    </row>
    <row r="34" spans="1:11" x14ac:dyDescent="0.25">
      <c r="A34" s="21"/>
      <c r="B34" s="9"/>
      <c r="C34" s="4"/>
      <c r="D34" s="30"/>
      <c r="E34" s="39"/>
      <c r="F34" s="33"/>
      <c r="G34" s="38"/>
      <c r="H34" s="33"/>
    </row>
    <row r="35" spans="1:11" x14ac:dyDescent="0.25">
      <c r="A35" s="21"/>
      <c r="B35" s="9"/>
      <c r="C35" s="4"/>
      <c r="D35" s="30"/>
      <c r="E35" s="39"/>
      <c r="F35" s="25"/>
      <c r="G35" s="38"/>
      <c r="H35" s="33"/>
    </row>
    <row r="36" spans="1:11" x14ac:dyDescent="0.25">
      <c r="A36" s="21"/>
      <c r="B36" s="9"/>
      <c r="C36" s="4"/>
      <c r="D36" s="30"/>
      <c r="E36" s="39"/>
      <c r="F36" s="25"/>
      <c r="G36" s="38"/>
      <c r="H36" s="33"/>
    </row>
    <row r="37" spans="1:11" x14ac:dyDescent="0.25">
      <c r="A37" s="21"/>
      <c r="B37" s="9"/>
      <c r="C37" s="4"/>
      <c r="D37" s="30"/>
      <c r="E37" s="39"/>
      <c r="F37" s="25"/>
      <c r="G37" s="38"/>
      <c r="H37" s="33"/>
    </row>
    <row r="38" spans="1:11" x14ac:dyDescent="0.25">
      <c r="A38" s="21"/>
      <c r="B38" s="9"/>
      <c r="C38" s="4"/>
      <c r="D38" s="30"/>
      <c r="E38" s="39"/>
      <c r="F38" s="25"/>
      <c r="G38" s="38"/>
      <c r="H38" s="33"/>
    </row>
    <row r="39" spans="1:11" x14ac:dyDescent="0.25">
      <c r="A39" s="21"/>
      <c r="B39" s="9"/>
      <c r="C39" s="4"/>
      <c r="D39" s="30"/>
      <c r="E39" s="39"/>
      <c r="F39" s="25"/>
      <c r="G39" s="38"/>
      <c r="H39" s="33"/>
    </row>
    <row r="40" spans="1:11" x14ac:dyDescent="0.25">
      <c r="A40" s="21"/>
      <c r="B40" s="9"/>
      <c r="C40" s="4"/>
      <c r="D40" s="30"/>
      <c r="E40" s="39"/>
      <c r="F40" s="25"/>
      <c r="G40" s="38"/>
      <c r="H40" s="33"/>
    </row>
    <row r="41" spans="1:11" x14ac:dyDescent="0.25">
      <c r="A41" s="21"/>
      <c r="B41" s="9"/>
      <c r="C41" s="4"/>
      <c r="D41" s="30"/>
      <c r="E41" s="39"/>
      <c r="F41" s="25"/>
      <c r="G41" s="38"/>
      <c r="H41" s="33"/>
    </row>
    <row r="42" spans="1:11" x14ac:dyDescent="0.25">
      <c r="A42" s="21"/>
      <c r="B42" s="9"/>
      <c r="C42" s="4"/>
      <c r="D42" s="30"/>
      <c r="E42" s="46"/>
      <c r="F42" s="25"/>
      <c r="G42" s="40"/>
      <c r="H42" s="33"/>
    </row>
    <row r="43" spans="1:11" x14ac:dyDescent="0.25">
      <c r="A43" s="21"/>
      <c r="B43" s="9"/>
      <c r="C43" s="4"/>
      <c r="D43" s="30"/>
      <c r="E43" s="46"/>
      <c r="F43" s="25"/>
      <c r="G43" s="40"/>
      <c r="H43" s="33"/>
    </row>
    <row r="44" spans="1:11" ht="15.75" thickBot="1" x14ac:dyDescent="0.3">
      <c r="A44" s="21"/>
      <c r="B44" s="9"/>
      <c r="C44" s="4"/>
      <c r="D44" s="30"/>
      <c r="E44" s="47"/>
      <c r="F44" s="26"/>
      <c r="G44" s="41"/>
      <c r="H44" s="34"/>
    </row>
    <row r="45" spans="1:11" ht="15.75" thickBot="1" x14ac:dyDescent="0.3">
      <c r="A45" s="5"/>
      <c r="B45" s="5"/>
      <c r="C45" s="5"/>
      <c r="D45" s="12" t="s">
        <v>26</v>
      </c>
      <c r="E45" s="43">
        <f>SUM(E24:E44)</f>
        <v>0.25</v>
      </c>
      <c r="F45" s="35">
        <f>SUM(F24:F44)</f>
        <v>16475</v>
      </c>
      <c r="G45" s="42">
        <f>SUM(G24:G44)</f>
        <v>1</v>
      </c>
      <c r="H45" s="35">
        <f>SUM(H12:H44)</f>
        <v>70900</v>
      </c>
      <c r="J45" s="61"/>
      <c r="K45" s="62"/>
    </row>
    <row r="46" spans="1:11" x14ac:dyDescent="0.25">
      <c r="A46" s="1"/>
      <c r="C46" s="1"/>
      <c r="D46" s="31" t="s">
        <v>27</v>
      </c>
      <c r="E46" s="48"/>
      <c r="F46" s="32"/>
      <c r="G46" s="49">
        <f>G45-E45</f>
        <v>0.75</v>
      </c>
      <c r="H46" s="67">
        <f>H45-F45</f>
        <v>54425</v>
      </c>
      <c r="J46" s="61"/>
      <c r="K46" s="62"/>
    </row>
    <row r="47" spans="1:11" x14ac:dyDescent="0.25">
      <c r="J47" s="63"/>
      <c r="K47" s="62"/>
    </row>
    <row r="48" spans="1:11" x14ac:dyDescent="0.25">
      <c r="H48" s="50"/>
    </row>
    <row r="49" spans="8:8" x14ac:dyDescent="0.25">
      <c r="H49" s="50"/>
    </row>
    <row r="50" spans="8:8" x14ac:dyDescent="0.25">
      <c r="H50" s="50"/>
    </row>
    <row r="51" spans="8:8" x14ac:dyDescent="0.25">
      <c r="H51" s="51"/>
    </row>
  </sheetData>
  <mergeCells count="13">
    <mergeCell ref="B19:C20"/>
    <mergeCell ref="E22:F22"/>
    <mergeCell ref="G22:H22"/>
    <mergeCell ref="A8:A9"/>
    <mergeCell ref="A22:A23"/>
    <mergeCell ref="A19:A20"/>
    <mergeCell ref="B8:C9"/>
    <mergeCell ref="A14:A18"/>
    <mergeCell ref="B14:C18"/>
    <mergeCell ref="A10:A11"/>
    <mergeCell ref="B10:C11"/>
    <mergeCell ref="A12:A13"/>
    <mergeCell ref="B12:C13"/>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'Category Definitions'!$I$3:$I$21</xm:f>
          </x14:formula1>
          <xm:sqref>B8:C9</xm:sqref>
        </x14:dataValidation>
        <x14:dataValidation type="list" allowBlank="1" showInputMessage="1" showErrorMessage="1" prompt="Please indicate the appropriate expenditure type." xr:uid="{00000000-0002-0000-00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000-000002000000}">
          <x14:formula1>
            <xm:f>'Category Definitions'!$F$3:$F$4</xm:f>
          </x14:formula1>
          <xm:sqref>D24:D44</xm:sqref>
        </x14:dataValidation>
        <x14:dataValidation type="list" allowBlank="1" showInputMessage="1" showErrorMessage="1" prompt="Select the appropriate expenditure type." xr:uid="{00000000-0002-0000-0000-000003000000}">
          <x14:formula1>
            <xm:f>'Category Definitions'!$C$2:$C$12</xm:f>
          </x14:formula1>
          <xm:sqref>C24:C44</xm:sqref>
        </x14:dataValidation>
        <x14:dataValidation type="list" allowBlank="1" showInputMessage="1" showErrorMessage="1" xr:uid="{00000000-0002-0000-0000-000004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000-000005000000}">
          <x14:formula1>
            <xm:f>'Category Definitions'!$A$3:$A$14</xm:f>
          </x14:formula1>
          <xm:sqref>B24:B44</xm:sqref>
        </x14:dataValidation>
        <x14:dataValidation type="list" allowBlank="1" showInputMessage="1" showErrorMessage="1" promptTitle="Foundation Budget Expenditure" prompt="Select the appropriate Foundation Budget Expenditure Category for the budgeted cost" xr:uid="{00000000-0002-0000-0000-000006000000}">
          <x14:formula1>
            <xm:f>'Category Definitions'!A10:A16</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7"/>
  <sheetViews>
    <sheetView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5" t="s">
        <v>1</v>
      </c>
      <c r="B8" s="81" t="s">
        <v>28</v>
      </c>
      <c r="C8" s="82"/>
      <c r="D8" s="29"/>
    </row>
    <row r="9" spans="1:4" x14ac:dyDescent="0.25">
      <c r="A9" s="76"/>
      <c r="B9" s="83"/>
      <c r="C9" s="84"/>
      <c r="D9" s="29"/>
    </row>
    <row r="10" spans="1:4" x14ac:dyDescent="0.25">
      <c r="A10" s="75" t="s">
        <v>3</v>
      </c>
      <c r="B10" s="81" t="s">
        <v>29</v>
      </c>
      <c r="C10" s="82"/>
      <c r="D10" s="29"/>
    </row>
    <row r="11" spans="1:4" x14ac:dyDescent="0.25">
      <c r="A11" s="76"/>
      <c r="B11" s="83"/>
      <c r="C11" s="84"/>
      <c r="D11" s="29"/>
    </row>
    <row r="12" spans="1:4" x14ac:dyDescent="0.25">
      <c r="A12" s="75" t="s">
        <v>5</v>
      </c>
      <c r="B12" s="81" t="s">
        <v>30</v>
      </c>
      <c r="C12" s="82"/>
    </row>
    <row r="13" spans="1:4" x14ac:dyDescent="0.25">
      <c r="A13" s="76"/>
      <c r="B13" s="83"/>
      <c r="C13" s="84"/>
    </row>
    <row r="14" spans="1:4" x14ac:dyDescent="0.25">
      <c r="A14" s="79" t="s">
        <v>6</v>
      </c>
      <c r="B14" s="86" t="s">
        <v>31</v>
      </c>
      <c r="C14" s="87"/>
      <c r="D14" s="16"/>
    </row>
    <row r="15" spans="1:4" x14ac:dyDescent="0.25">
      <c r="A15" s="85"/>
      <c r="B15" s="88"/>
      <c r="C15" s="89"/>
      <c r="D15" s="16"/>
    </row>
    <row r="16" spans="1:4" x14ac:dyDescent="0.25">
      <c r="A16" s="85"/>
      <c r="B16" s="88"/>
      <c r="C16" s="89"/>
      <c r="D16" s="16"/>
    </row>
    <row r="17" spans="1:8" x14ac:dyDescent="0.25">
      <c r="A17" s="85"/>
      <c r="B17" s="88"/>
      <c r="C17" s="89"/>
      <c r="D17" s="16"/>
    </row>
    <row r="18" spans="1:8" x14ac:dyDescent="0.25">
      <c r="A18" s="80"/>
      <c r="B18" s="90"/>
      <c r="C18" s="91"/>
      <c r="E18" s="44"/>
      <c r="F18" s="5"/>
    </row>
    <row r="19" spans="1:8" x14ac:dyDescent="0.25">
      <c r="A19" s="79" t="s">
        <v>8</v>
      </c>
      <c r="B19" s="68" t="s">
        <v>32</v>
      </c>
      <c r="C19" s="69"/>
      <c r="D19" s="16"/>
    </row>
    <row r="20" spans="1:8" x14ac:dyDescent="0.25">
      <c r="A20" s="80"/>
      <c r="B20" s="70"/>
      <c r="C20" s="71"/>
      <c r="E20" s="44"/>
      <c r="F20" s="5"/>
    </row>
    <row r="21" spans="1:8" ht="15.75" thickBot="1" x14ac:dyDescent="0.3">
      <c r="A21" s="7"/>
      <c r="B21" s="5"/>
    </row>
    <row r="22" spans="1:8" ht="14.85" customHeight="1" x14ac:dyDescent="0.25">
      <c r="A22" s="77" t="s">
        <v>10</v>
      </c>
      <c r="B22" s="65" t="s">
        <v>11</v>
      </c>
      <c r="C22" s="10" t="s">
        <v>12</v>
      </c>
      <c r="D22" s="22" t="s">
        <v>13</v>
      </c>
      <c r="E22" s="72" t="s">
        <v>14</v>
      </c>
      <c r="F22" s="73"/>
      <c r="G22" s="74" t="s">
        <v>15</v>
      </c>
      <c r="H22" s="73"/>
    </row>
    <row r="23" spans="1:8" s="6" customFormat="1" x14ac:dyDescent="0.25">
      <c r="A23" s="78"/>
      <c r="B23" s="66" t="s">
        <v>16</v>
      </c>
      <c r="C23" s="11" t="s">
        <v>16</v>
      </c>
      <c r="D23" s="23" t="s">
        <v>17</v>
      </c>
      <c r="E23" s="45" t="s">
        <v>18</v>
      </c>
      <c r="F23" s="24" t="s">
        <v>19</v>
      </c>
      <c r="G23" s="37" t="s">
        <v>18</v>
      </c>
      <c r="H23" s="27" t="s">
        <v>19</v>
      </c>
    </row>
    <row r="24" spans="1:8" x14ac:dyDescent="0.25">
      <c r="A24" s="21" t="s">
        <v>33</v>
      </c>
      <c r="B24" s="9" t="s">
        <v>34</v>
      </c>
      <c r="C24" s="4" t="s">
        <v>35</v>
      </c>
      <c r="D24" s="30" t="s">
        <v>23</v>
      </c>
      <c r="E24" s="39">
        <v>2</v>
      </c>
      <c r="F24" s="33">
        <v>120000</v>
      </c>
      <c r="G24" s="38">
        <f>1+E24</f>
        <v>3</v>
      </c>
      <c r="H24" s="33">
        <f>60000+40727+F24</f>
        <v>220727</v>
      </c>
    </row>
    <row r="25" spans="1:8" x14ac:dyDescent="0.25">
      <c r="A25" s="21" t="s">
        <v>36</v>
      </c>
      <c r="B25" s="9" t="s">
        <v>34</v>
      </c>
      <c r="C25" s="4" t="s">
        <v>37</v>
      </c>
      <c r="D25" s="30" t="s">
        <v>23</v>
      </c>
      <c r="E25" s="39"/>
      <c r="F25" s="33">
        <v>1191120</v>
      </c>
      <c r="G25" s="38"/>
      <c r="H25" s="33">
        <f>100000+F25</f>
        <v>1291120</v>
      </c>
    </row>
    <row r="26" spans="1:8" x14ac:dyDescent="0.25">
      <c r="A26" s="21" t="s">
        <v>38</v>
      </c>
      <c r="B26" s="9" t="s">
        <v>39</v>
      </c>
      <c r="C26" s="4" t="s">
        <v>22</v>
      </c>
      <c r="D26" s="30" t="s">
        <v>23</v>
      </c>
      <c r="E26" s="39"/>
      <c r="F26" s="33">
        <v>0</v>
      </c>
      <c r="G26" s="39">
        <f>1</f>
        <v>1</v>
      </c>
      <c r="H26" s="33">
        <v>70900</v>
      </c>
    </row>
    <row r="27" spans="1:8" x14ac:dyDescent="0.25">
      <c r="A27" s="21" t="s">
        <v>40</v>
      </c>
      <c r="B27" s="9" t="s">
        <v>39</v>
      </c>
      <c r="C27" s="4" t="s">
        <v>22</v>
      </c>
      <c r="D27" s="30" t="s">
        <v>23</v>
      </c>
      <c r="E27" s="39"/>
      <c r="F27" s="33">
        <v>0</v>
      </c>
      <c r="G27" s="38">
        <v>1</v>
      </c>
      <c r="H27" s="33">
        <v>70900</v>
      </c>
    </row>
    <row r="28" spans="1:8" x14ac:dyDescent="0.25">
      <c r="A28" s="21" t="s">
        <v>41</v>
      </c>
      <c r="B28" s="9" t="s">
        <v>42</v>
      </c>
      <c r="C28" s="4" t="s">
        <v>22</v>
      </c>
      <c r="D28" s="30" t="s">
        <v>23</v>
      </c>
      <c r="E28" s="39"/>
      <c r="F28" s="33">
        <v>9567</v>
      </c>
      <c r="G28" s="38"/>
      <c r="H28" s="33">
        <f>10000+F28</f>
        <v>19567</v>
      </c>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26</v>
      </c>
      <c r="E45" s="43">
        <f>SUM(E24:E44)</f>
        <v>2</v>
      </c>
      <c r="F45" s="35">
        <f>SUM(F24:F44)</f>
        <v>1320687</v>
      </c>
      <c r="G45" s="42">
        <f>SUM(G24:G44)</f>
        <v>5</v>
      </c>
      <c r="H45" s="35">
        <f>SUM(H12:H44)</f>
        <v>1673214</v>
      </c>
    </row>
    <row r="46" spans="1:8" x14ac:dyDescent="0.25">
      <c r="A46" s="1"/>
      <c r="C46" s="1"/>
      <c r="D46" s="31" t="s">
        <v>27</v>
      </c>
      <c r="E46" s="48"/>
      <c r="F46" s="32"/>
      <c r="G46" s="49">
        <f>G45-E45</f>
        <v>3</v>
      </c>
      <c r="H46" s="67">
        <f>H45-F45</f>
        <v>352527</v>
      </c>
    </row>
    <row r="47" spans="1:8" x14ac:dyDescent="0.25">
      <c r="A47" s="1"/>
      <c r="C47" s="1"/>
      <c r="D47" s="31"/>
      <c r="E47" s="57"/>
      <c r="F47" s="58"/>
      <c r="G47" s="59"/>
      <c r="H47" s="60"/>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100-000000000000}">
          <x14:formula1>
            <xm:f>'Category Definitions'!$A$3:$A$14</xm:f>
          </x14:formula1>
          <xm:sqref>B24:B44</xm:sqref>
        </x14:dataValidation>
        <x14:dataValidation type="list" allowBlank="1" showInputMessage="1" showErrorMessage="1" xr:uid="{00000000-0002-0000-0100-000001000000}">
          <x14:formula1>
            <xm:f>'Category Definitions'!$I$23:$I$32</xm:f>
          </x14:formula1>
          <xm:sqref>B10:C13</xm:sqref>
        </x14:dataValidation>
        <x14:dataValidation type="list" allowBlank="1" showInputMessage="1" showErrorMessage="1" prompt="Select the appropriate expenditure type." xr:uid="{00000000-0002-0000-0100-000002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100-000003000000}">
          <x14:formula1>
            <xm:f>'Category Definitions'!$F$3:$F$4</xm:f>
          </x14:formula1>
          <xm:sqref>D24:D44</xm:sqref>
        </x14:dataValidation>
        <x14:dataValidation type="list" allowBlank="1" showInputMessage="1" showErrorMessage="1" prompt="Please indicate the appropriate expenditure type." xr:uid="{00000000-0002-0000-0100-000004000000}">
          <x14:formula1>
            <xm:f>'Category Definitions'!$C$2:$C$12</xm:f>
          </x14:formula1>
          <xm:sqref>C45</xm:sqref>
        </x14:dataValidation>
        <x14:dataValidation type="list" allowBlank="1" showInputMessage="1" showErrorMessage="1" xr:uid="{00000000-0002-0000-0100-000005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100-000006000000}">
          <x14:formula1>
            <xm:f>'Category Definitions'!A10:A16</xm:f>
          </x14:formula1>
          <xm:sqref>B45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6"/>
  <sheetViews>
    <sheetView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5" t="s">
        <v>1</v>
      </c>
      <c r="B8" s="81" t="s">
        <v>43</v>
      </c>
      <c r="C8" s="82"/>
      <c r="D8" s="29"/>
    </row>
    <row r="9" spans="1:4" x14ac:dyDescent="0.25">
      <c r="A9" s="76"/>
      <c r="B9" s="83"/>
      <c r="C9" s="84"/>
      <c r="D9" s="29"/>
    </row>
    <row r="10" spans="1:4" x14ac:dyDescent="0.25">
      <c r="A10" s="75" t="s">
        <v>3</v>
      </c>
      <c r="B10" s="81" t="s">
        <v>44</v>
      </c>
      <c r="C10" s="82"/>
      <c r="D10" s="29"/>
    </row>
    <row r="11" spans="1:4" x14ac:dyDescent="0.25">
      <c r="A11" s="76"/>
      <c r="B11" s="83"/>
      <c r="C11" s="84"/>
      <c r="D11" s="29"/>
    </row>
    <row r="12" spans="1:4" x14ac:dyDescent="0.25">
      <c r="A12" s="75" t="s">
        <v>5</v>
      </c>
      <c r="B12" s="81" t="s">
        <v>45</v>
      </c>
      <c r="C12" s="82"/>
    </row>
    <row r="13" spans="1:4" x14ac:dyDescent="0.25">
      <c r="A13" s="76"/>
      <c r="B13" s="83"/>
      <c r="C13" s="84"/>
    </row>
    <row r="14" spans="1:4" x14ac:dyDescent="0.25">
      <c r="A14" s="79" t="s">
        <v>6</v>
      </c>
      <c r="B14" s="86" t="s">
        <v>46</v>
      </c>
      <c r="C14" s="87"/>
      <c r="D14" s="16"/>
    </row>
    <row r="15" spans="1:4" x14ac:dyDescent="0.25">
      <c r="A15" s="85"/>
      <c r="B15" s="88"/>
      <c r="C15" s="89"/>
      <c r="D15" s="16"/>
    </row>
    <row r="16" spans="1:4" x14ac:dyDescent="0.25">
      <c r="A16" s="85"/>
      <c r="B16" s="88"/>
      <c r="C16" s="89"/>
      <c r="D16" s="16"/>
    </row>
    <row r="17" spans="1:8" x14ac:dyDescent="0.25">
      <c r="A17" s="85"/>
      <c r="B17" s="88"/>
      <c r="C17" s="89"/>
      <c r="D17" s="16"/>
    </row>
    <row r="18" spans="1:8" x14ac:dyDescent="0.25">
      <c r="A18" s="80"/>
      <c r="B18" s="90"/>
      <c r="C18" s="91"/>
      <c r="E18" s="44"/>
      <c r="F18" s="5"/>
    </row>
    <row r="19" spans="1:8" x14ac:dyDescent="0.25">
      <c r="A19" s="79" t="s">
        <v>8</v>
      </c>
      <c r="B19" s="68" t="s">
        <v>47</v>
      </c>
      <c r="C19" s="69"/>
      <c r="D19" s="16"/>
    </row>
    <row r="20" spans="1:8" x14ac:dyDescent="0.25">
      <c r="A20" s="80"/>
      <c r="B20" s="70"/>
      <c r="C20" s="71"/>
      <c r="E20" s="44"/>
      <c r="F20" s="5"/>
    </row>
    <row r="21" spans="1:8" ht="15.75" thickBot="1" x14ac:dyDescent="0.3">
      <c r="A21" s="7"/>
      <c r="B21" s="5"/>
    </row>
    <row r="22" spans="1:8" ht="14.85" customHeight="1" x14ac:dyDescent="0.25">
      <c r="A22" s="77" t="s">
        <v>10</v>
      </c>
      <c r="B22" s="65" t="s">
        <v>11</v>
      </c>
      <c r="C22" s="10" t="s">
        <v>12</v>
      </c>
      <c r="D22" s="22" t="s">
        <v>13</v>
      </c>
      <c r="E22" s="72" t="s">
        <v>14</v>
      </c>
      <c r="F22" s="73"/>
      <c r="G22" s="74" t="s">
        <v>15</v>
      </c>
      <c r="H22" s="73"/>
    </row>
    <row r="23" spans="1:8" s="6" customFormat="1" x14ac:dyDescent="0.25">
      <c r="A23" s="78"/>
      <c r="B23" s="66" t="s">
        <v>16</v>
      </c>
      <c r="C23" s="11" t="s">
        <v>16</v>
      </c>
      <c r="D23" s="23" t="s">
        <v>17</v>
      </c>
      <c r="E23" s="45" t="s">
        <v>18</v>
      </c>
      <c r="F23" s="24" t="s">
        <v>19</v>
      </c>
      <c r="G23" s="37" t="s">
        <v>18</v>
      </c>
      <c r="H23" s="27" t="s">
        <v>19</v>
      </c>
    </row>
    <row r="24" spans="1:8" x14ac:dyDescent="0.25">
      <c r="A24" s="21" t="s">
        <v>48</v>
      </c>
      <c r="B24" s="9" t="s">
        <v>21</v>
      </c>
      <c r="C24" s="4" t="s">
        <v>22</v>
      </c>
      <c r="D24" s="30" t="s">
        <v>23</v>
      </c>
      <c r="E24" s="39">
        <v>1</v>
      </c>
      <c r="F24" s="33">
        <v>82500</v>
      </c>
      <c r="G24" s="38">
        <f>1+E24</f>
        <v>2</v>
      </c>
      <c r="H24" s="33">
        <f>85000+F24</f>
        <v>167500</v>
      </c>
    </row>
    <row r="25" spans="1:8" x14ac:dyDescent="0.25">
      <c r="A25" s="21" t="s">
        <v>49</v>
      </c>
      <c r="B25" s="9" t="s">
        <v>21</v>
      </c>
      <c r="C25" s="4" t="s">
        <v>22</v>
      </c>
      <c r="D25" s="30" t="s">
        <v>23</v>
      </c>
      <c r="E25" s="39">
        <v>8</v>
      </c>
      <c r="F25" s="33">
        <v>607589</v>
      </c>
      <c r="G25" s="38">
        <f>2+E25</f>
        <v>10</v>
      </c>
      <c r="H25" s="33">
        <f>144966+F25</f>
        <v>752555</v>
      </c>
    </row>
    <row r="26" spans="1:8" x14ac:dyDescent="0.25">
      <c r="A26" s="21" t="s">
        <v>50</v>
      </c>
      <c r="B26" s="9" t="s">
        <v>51</v>
      </c>
      <c r="C26" s="4" t="s">
        <v>52</v>
      </c>
      <c r="D26" s="30" t="s">
        <v>23</v>
      </c>
      <c r="E26" s="39">
        <v>0</v>
      </c>
      <c r="F26" s="33">
        <v>0</v>
      </c>
      <c r="G26" s="39">
        <v>1</v>
      </c>
      <c r="H26" s="33">
        <f>114779</f>
        <v>114779</v>
      </c>
    </row>
    <row r="27" spans="1:8" x14ac:dyDescent="0.25">
      <c r="A27" s="21" t="s">
        <v>53</v>
      </c>
      <c r="B27" s="9" t="s">
        <v>54</v>
      </c>
      <c r="C27" s="4" t="s">
        <v>35</v>
      </c>
      <c r="D27" s="30" t="s">
        <v>55</v>
      </c>
      <c r="E27" s="39">
        <v>10</v>
      </c>
      <c r="F27" s="33">
        <v>726431.28</v>
      </c>
      <c r="G27" s="38">
        <f>4+E27</f>
        <v>14</v>
      </c>
      <c r="H27" s="33">
        <f>274652+F27</f>
        <v>1001083.28</v>
      </c>
    </row>
    <row r="28" spans="1:8" x14ac:dyDescent="0.25">
      <c r="A28" s="21" t="s">
        <v>56</v>
      </c>
      <c r="B28" s="9" t="s">
        <v>57</v>
      </c>
      <c r="C28" s="4" t="s">
        <v>35</v>
      </c>
      <c r="D28" s="30" t="s">
        <v>23</v>
      </c>
      <c r="E28" s="39">
        <v>15</v>
      </c>
      <c r="F28" s="33">
        <v>1206069</v>
      </c>
      <c r="G28" s="38">
        <f>4+E28</f>
        <v>19</v>
      </c>
      <c r="H28" s="33">
        <f>302919+F28</f>
        <v>1508988</v>
      </c>
    </row>
    <row r="29" spans="1:8" x14ac:dyDescent="0.25">
      <c r="A29" s="21" t="s">
        <v>58</v>
      </c>
      <c r="B29" s="9" t="s">
        <v>42</v>
      </c>
      <c r="C29" s="4" t="s">
        <v>22</v>
      </c>
      <c r="D29" s="30" t="s">
        <v>23</v>
      </c>
      <c r="E29" s="39">
        <v>2</v>
      </c>
      <c r="F29" s="33">
        <v>176739</v>
      </c>
      <c r="G29" s="38">
        <f>1+E29</f>
        <v>3</v>
      </c>
      <c r="H29" s="33">
        <f>70900+F29</f>
        <v>247639</v>
      </c>
    </row>
    <row r="30" spans="1:8" x14ac:dyDescent="0.25">
      <c r="A30" s="21" t="s">
        <v>59</v>
      </c>
      <c r="B30" s="9" t="s">
        <v>21</v>
      </c>
      <c r="C30" s="4" t="s">
        <v>22</v>
      </c>
      <c r="D30" s="30" t="s">
        <v>23</v>
      </c>
      <c r="E30" s="39">
        <v>0</v>
      </c>
      <c r="F30" s="33">
        <v>0</v>
      </c>
      <c r="G30" s="39">
        <v>3</v>
      </c>
      <c r="H30" s="33">
        <f>70900*3</f>
        <v>212700</v>
      </c>
    </row>
    <row r="31" spans="1:8" x14ac:dyDescent="0.25">
      <c r="A31" s="21" t="s">
        <v>60</v>
      </c>
      <c r="B31" s="9" t="s">
        <v>21</v>
      </c>
      <c r="C31" s="4" t="s">
        <v>22</v>
      </c>
      <c r="D31" s="30" t="s">
        <v>23</v>
      </c>
      <c r="E31" s="39">
        <v>3</v>
      </c>
      <c r="F31" s="33">
        <v>105600</v>
      </c>
      <c r="G31" s="38">
        <f>3+E31</f>
        <v>6</v>
      </c>
      <c r="H31" s="33">
        <f>35200*3+F31</f>
        <v>211200</v>
      </c>
    </row>
    <row r="32" spans="1:8" x14ac:dyDescent="0.25">
      <c r="A32" s="21" t="s">
        <v>61</v>
      </c>
      <c r="B32" s="9" t="s">
        <v>42</v>
      </c>
      <c r="C32" s="4" t="s">
        <v>22</v>
      </c>
      <c r="D32" s="30" t="s">
        <v>23</v>
      </c>
      <c r="E32" s="39">
        <v>0</v>
      </c>
      <c r="F32" s="33">
        <v>0</v>
      </c>
      <c r="G32" s="38">
        <v>1</v>
      </c>
      <c r="H32" s="33">
        <v>65900</v>
      </c>
    </row>
    <row r="33" spans="1:8" x14ac:dyDescent="0.25">
      <c r="A33" s="21" t="s">
        <v>62</v>
      </c>
      <c r="B33" s="9" t="s">
        <v>21</v>
      </c>
      <c r="C33" s="4" t="s">
        <v>35</v>
      </c>
      <c r="D33" s="30" t="s">
        <v>23</v>
      </c>
      <c r="E33" s="39">
        <v>0</v>
      </c>
      <c r="F33" s="33">
        <v>0</v>
      </c>
      <c r="G33" s="38">
        <v>1</v>
      </c>
      <c r="H33" s="33">
        <v>29200</v>
      </c>
    </row>
    <row r="34" spans="1:8" x14ac:dyDescent="0.25">
      <c r="A34" s="21" t="s">
        <v>63</v>
      </c>
      <c r="B34" s="9" t="s">
        <v>21</v>
      </c>
      <c r="C34" s="4" t="s">
        <v>35</v>
      </c>
      <c r="D34" s="30" t="s">
        <v>23</v>
      </c>
      <c r="E34" s="39">
        <v>0</v>
      </c>
      <c r="F34" s="33">
        <v>0</v>
      </c>
      <c r="G34" s="38">
        <v>1</v>
      </c>
      <c r="H34" s="33">
        <v>29200</v>
      </c>
    </row>
    <row r="35" spans="1:8" x14ac:dyDescent="0.25">
      <c r="A35" s="21" t="s">
        <v>64</v>
      </c>
      <c r="B35" s="9" t="s">
        <v>21</v>
      </c>
      <c r="C35" s="4" t="s">
        <v>35</v>
      </c>
      <c r="D35" s="30" t="s">
        <v>23</v>
      </c>
      <c r="E35" s="39">
        <v>3</v>
      </c>
      <c r="F35" s="33">
        <v>295260.79999999999</v>
      </c>
      <c r="G35" s="38">
        <f>1+E35</f>
        <v>4</v>
      </c>
      <c r="H35" s="33">
        <f>75785+F35</f>
        <v>371045.8</v>
      </c>
    </row>
    <row r="36" spans="1:8" x14ac:dyDescent="0.25">
      <c r="A36" s="21" t="s">
        <v>65</v>
      </c>
      <c r="B36" s="9" t="s">
        <v>42</v>
      </c>
      <c r="C36" s="4" t="s">
        <v>22</v>
      </c>
      <c r="D36" s="30" t="s">
        <v>23</v>
      </c>
      <c r="E36" s="39">
        <f>16-3/2</f>
        <v>14.5</v>
      </c>
      <c r="F36" s="33">
        <v>932540.5</v>
      </c>
      <c r="G36" s="38">
        <f>1+E36</f>
        <v>15.5</v>
      </c>
      <c r="H36" s="33">
        <f>65900+F36</f>
        <v>998440.5</v>
      </c>
    </row>
    <row r="37" spans="1:8" x14ac:dyDescent="0.25">
      <c r="A37" s="21" t="s">
        <v>66</v>
      </c>
      <c r="B37" s="9" t="s">
        <v>42</v>
      </c>
      <c r="C37" s="4" t="s">
        <v>22</v>
      </c>
      <c r="D37" s="30" t="s">
        <v>23</v>
      </c>
      <c r="E37" s="39">
        <f>16-4/2</f>
        <v>14</v>
      </c>
      <c r="F37" s="33">
        <v>939191.5</v>
      </c>
      <c r="G37" s="38">
        <f>1+E37</f>
        <v>15</v>
      </c>
      <c r="H37" s="33">
        <f>65900+F37</f>
        <v>1005091.5</v>
      </c>
    </row>
    <row r="38" spans="1:8" x14ac:dyDescent="0.25">
      <c r="A38" s="21" t="s">
        <v>67</v>
      </c>
      <c r="B38" s="9" t="s">
        <v>42</v>
      </c>
      <c r="C38" s="4" t="s">
        <v>22</v>
      </c>
      <c r="D38" s="30" t="s">
        <v>23</v>
      </c>
      <c r="E38" s="39">
        <v>4</v>
      </c>
      <c r="F38" s="33">
        <v>311081</v>
      </c>
      <c r="G38" s="38">
        <f>1+E38</f>
        <v>5</v>
      </c>
      <c r="H38" s="33">
        <f>65900+F38</f>
        <v>376981</v>
      </c>
    </row>
    <row r="39" spans="1:8" x14ac:dyDescent="0.25">
      <c r="A39" s="21" t="s">
        <v>68</v>
      </c>
      <c r="B39" s="9" t="s">
        <v>21</v>
      </c>
      <c r="C39" s="4" t="s">
        <v>35</v>
      </c>
      <c r="D39" s="30" t="s">
        <v>23</v>
      </c>
      <c r="E39" s="39">
        <v>1</v>
      </c>
      <c r="F39" s="33">
        <v>30032</v>
      </c>
      <c r="G39" s="38">
        <f>2+E39</f>
        <v>3</v>
      </c>
      <c r="H39" s="33">
        <f>58400+F39</f>
        <v>88432</v>
      </c>
    </row>
    <row r="40" spans="1:8" x14ac:dyDescent="0.25">
      <c r="A40" s="21" t="s">
        <v>69</v>
      </c>
      <c r="B40" s="9" t="s">
        <v>42</v>
      </c>
      <c r="C40" s="4" t="s">
        <v>22</v>
      </c>
      <c r="D40" s="30" t="s">
        <v>23</v>
      </c>
      <c r="E40" s="39">
        <v>2</v>
      </c>
      <c r="F40" s="33">
        <v>139941</v>
      </c>
      <c r="G40" s="38">
        <f>1+E40</f>
        <v>3</v>
      </c>
      <c r="H40" s="33">
        <f>65900+F40</f>
        <v>205841</v>
      </c>
    </row>
    <row r="41" spans="1:8" x14ac:dyDescent="0.25">
      <c r="A41" s="21" t="s">
        <v>70</v>
      </c>
      <c r="B41" s="9" t="s">
        <v>42</v>
      </c>
      <c r="C41" s="4" t="s">
        <v>22</v>
      </c>
      <c r="D41" s="30" t="s">
        <v>23</v>
      </c>
      <c r="E41" s="39"/>
      <c r="F41" s="25"/>
      <c r="G41" s="38">
        <v>0</v>
      </c>
      <c r="H41" s="33">
        <v>15000</v>
      </c>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26</v>
      </c>
      <c r="E45" s="43">
        <f>SUM(E24:E44)</f>
        <v>77.5</v>
      </c>
      <c r="F45" s="35">
        <f>SUM(F24:F44)</f>
        <v>5552975.0800000001</v>
      </c>
      <c r="G45" s="42">
        <f>SUM(G24:G44)</f>
        <v>106.5</v>
      </c>
      <c r="H45" s="35">
        <f>SUM(H12:H44)</f>
        <v>7401576.0800000001</v>
      </c>
    </row>
    <row r="46" spans="1:8" x14ac:dyDescent="0.25">
      <c r="A46" s="1"/>
      <c r="C46" s="1"/>
      <c r="D46" s="31" t="s">
        <v>27</v>
      </c>
      <c r="E46" s="48"/>
      <c r="F46" s="32"/>
      <c r="G46" s="49">
        <f>G45-E45</f>
        <v>29</v>
      </c>
      <c r="H46" s="67">
        <f>H45-F45</f>
        <v>1848601</v>
      </c>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'Category Definitions'!$I$3:$I$21</xm:f>
          </x14:formula1>
          <xm:sqref>B8:C9</xm:sqref>
        </x14:dataValidation>
        <x14:dataValidation type="list" allowBlank="1" showInputMessage="1" showErrorMessage="1" prompt="Please indicate the appropriate expenditure type." xr:uid="{00000000-0002-0000-02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200-000002000000}">
          <x14:formula1>
            <xm:f>'Category Definitions'!$F$3:$F$4</xm:f>
          </x14:formula1>
          <xm:sqref>D24:D44</xm:sqref>
        </x14:dataValidation>
        <x14:dataValidation type="list" allowBlank="1" showInputMessage="1" showErrorMessage="1" prompt="Select the appropriate expenditure type." xr:uid="{00000000-0002-0000-0200-000003000000}">
          <x14:formula1>
            <xm:f>'Category Definitions'!$C$2:$C$12</xm:f>
          </x14:formula1>
          <xm:sqref>C24:C44</xm:sqref>
        </x14:dataValidation>
        <x14:dataValidation type="list" allowBlank="1" showInputMessage="1" showErrorMessage="1" xr:uid="{00000000-0002-0000-0200-000004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200-000005000000}">
          <x14:formula1>
            <xm:f>'Category Definitions'!$A$3:$A$14</xm:f>
          </x14:formula1>
          <xm:sqref>B24:B44</xm:sqref>
        </x14:dataValidation>
        <x14:dataValidation type="list" allowBlank="1" showInputMessage="1" showErrorMessage="1" promptTitle="Foundation Budget Expenditure" prompt="Select the appropriate Foundation Budget Expenditure Category for the budgeted cost" xr:uid="{00000000-0002-0000-0200-000006000000}">
          <x14:formula1>
            <xm:f>'Category Definitions'!A10:A16</xm:f>
          </x14:formula1>
          <xm:sqref>B45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6"/>
  <sheetViews>
    <sheetView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5" t="s">
        <v>1</v>
      </c>
      <c r="B8" s="81" t="s">
        <v>71</v>
      </c>
      <c r="C8" s="82"/>
      <c r="D8" s="29"/>
    </row>
    <row r="9" spans="1:4" x14ac:dyDescent="0.25">
      <c r="A9" s="76"/>
      <c r="B9" s="83"/>
      <c r="C9" s="84"/>
      <c r="D9" s="29"/>
    </row>
    <row r="10" spans="1:4" x14ac:dyDescent="0.25">
      <c r="A10" s="75" t="s">
        <v>3</v>
      </c>
      <c r="B10" s="81" t="s">
        <v>44</v>
      </c>
      <c r="C10" s="82"/>
      <c r="D10" s="29"/>
    </row>
    <row r="11" spans="1:4" x14ac:dyDescent="0.25">
      <c r="A11" s="76"/>
      <c r="B11" s="83"/>
      <c r="C11" s="84"/>
      <c r="D11" s="29"/>
    </row>
    <row r="12" spans="1:4" x14ac:dyDescent="0.25">
      <c r="A12" s="75" t="s">
        <v>5</v>
      </c>
      <c r="B12" s="81"/>
      <c r="C12" s="82"/>
    </row>
    <row r="13" spans="1:4" x14ac:dyDescent="0.25">
      <c r="A13" s="76"/>
      <c r="B13" s="83"/>
      <c r="C13" s="84"/>
    </row>
    <row r="14" spans="1:4" x14ac:dyDescent="0.25">
      <c r="A14" s="79" t="s">
        <v>6</v>
      </c>
      <c r="B14" s="86" t="s">
        <v>72</v>
      </c>
      <c r="C14" s="87"/>
      <c r="D14" s="16"/>
    </row>
    <row r="15" spans="1:4" x14ac:dyDescent="0.25">
      <c r="A15" s="85"/>
      <c r="B15" s="88"/>
      <c r="C15" s="89"/>
      <c r="D15" s="16"/>
    </row>
    <row r="16" spans="1:4" x14ac:dyDescent="0.25">
      <c r="A16" s="85"/>
      <c r="B16" s="88"/>
      <c r="C16" s="89"/>
      <c r="D16" s="16"/>
    </row>
    <row r="17" spans="1:8" x14ac:dyDescent="0.25">
      <c r="A17" s="85"/>
      <c r="B17" s="88"/>
      <c r="C17" s="89"/>
      <c r="D17" s="16"/>
    </row>
    <row r="18" spans="1:8" x14ac:dyDescent="0.25">
      <c r="A18" s="80"/>
      <c r="B18" s="90"/>
      <c r="C18" s="91"/>
      <c r="E18" s="44"/>
      <c r="F18" s="5"/>
    </row>
    <row r="19" spans="1:8" x14ac:dyDescent="0.25">
      <c r="A19" s="79" t="s">
        <v>8</v>
      </c>
      <c r="B19" s="68" t="s">
        <v>47</v>
      </c>
      <c r="C19" s="69"/>
      <c r="D19" s="16"/>
    </row>
    <row r="20" spans="1:8" x14ac:dyDescent="0.25">
      <c r="A20" s="80"/>
      <c r="B20" s="70"/>
      <c r="C20" s="71"/>
      <c r="E20" s="44"/>
      <c r="F20" s="5"/>
    </row>
    <row r="21" spans="1:8" ht="15.75" thickBot="1" x14ac:dyDescent="0.3">
      <c r="A21" s="7"/>
      <c r="B21" s="5"/>
    </row>
    <row r="22" spans="1:8" ht="14.85" customHeight="1" x14ac:dyDescent="0.25">
      <c r="A22" s="77" t="s">
        <v>10</v>
      </c>
      <c r="B22" s="65" t="s">
        <v>11</v>
      </c>
      <c r="C22" s="10" t="s">
        <v>12</v>
      </c>
      <c r="D22" s="22" t="s">
        <v>13</v>
      </c>
      <c r="E22" s="72" t="s">
        <v>14</v>
      </c>
      <c r="F22" s="73"/>
      <c r="G22" s="74" t="s">
        <v>15</v>
      </c>
      <c r="H22" s="73"/>
    </row>
    <row r="23" spans="1:8" s="6" customFormat="1" x14ac:dyDescent="0.25">
      <c r="A23" s="78"/>
      <c r="B23" s="66" t="s">
        <v>16</v>
      </c>
      <c r="C23" s="11" t="s">
        <v>16</v>
      </c>
      <c r="D23" s="23" t="s">
        <v>17</v>
      </c>
      <c r="E23" s="45" t="s">
        <v>18</v>
      </c>
      <c r="F23" s="24" t="s">
        <v>19</v>
      </c>
      <c r="G23" s="37" t="s">
        <v>18</v>
      </c>
      <c r="H23" s="27" t="s">
        <v>19</v>
      </c>
    </row>
    <row r="24" spans="1:8" x14ac:dyDescent="0.25">
      <c r="A24" s="21" t="s">
        <v>73</v>
      </c>
      <c r="B24" s="9" t="s">
        <v>42</v>
      </c>
      <c r="C24" s="4" t="s">
        <v>22</v>
      </c>
      <c r="D24" s="30" t="s">
        <v>23</v>
      </c>
      <c r="E24" s="39">
        <v>2</v>
      </c>
      <c r="F24" s="33">
        <v>158535</v>
      </c>
      <c r="G24" s="38">
        <f>1+E24</f>
        <v>3</v>
      </c>
      <c r="H24" s="33">
        <f>65900+F24</f>
        <v>224435</v>
      </c>
    </row>
    <row r="25" spans="1:8" x14ac:dyDescent="0.25">
      <c r="A25" s="21" t="s">
        <v>74</v>
      </c>
      <c r="B25" s="9" t="s">
        <v>42</v>
      </c>
      <c r="C25" s="4" t="s">
        <v>22</v>
      </c>
      <c r="D25" s="30" t="s">
        <v>23</v>
      </c>
      <c r="E25" s="39">
        <v>10</v>
      </c>
      <c r="F25" s="33">
        <v>772282</v>
      </c>
      <c r="G25" s="38">
        <f>4+E25</f>
        <v>14</v>
      </c>
      <c r="H25" s="33">
        <f>65900*4+F25</f>
        <v>1035882</v>
      </c>
    </row>
    <row r="26" spans="1:8" x14ac:dyDescent="0.25">
      <c r="A26" s="21" t="s">
        <v>75</v>
      </c>
      <c r="B26" s="9" t="s">
        <v>42</v>
      </c>
      <c r="C26" s="4" t="s">
        <v>22</v>
      </c>
      <c r="D26" s="30" t="s">
        <v>23</v>
      </c>
      <c r="E26" s="39">
        <v>12</v>
      </c>
      <c r="F26" s="33">
        <v>769849.98</v>
      </c>
      <c r="G26" s="39">
        <f>4+E26</f>
        <v>16</v>
      </c>
      <c r="H26" s="33">
        <f>65900*4+F26</f>
        <v>1033449.98</v>
      </c>
    </row>
    <row r="27" spans="1:8" x14ac:dyDescent="0.25">
      <c r="A27" s="21" t="s">
        <v>76</v>
      </c>
      <c r="B27" s="9" t="s">
        <v>42</v>
      </c>
      <c r="C27" s="4" t="s">
        <v>22</v>
      </c>
      <c r="D27" s="30" t="s">
        <v>23</v>
      </c>
      <c r="E27" s="39">
        <v>12</v>
      </c>
      <c r="F27" s="33">
        <v>805137</v>
      </c>
      <c r="G27" s="38">
        <f>3+E27</f>
        <v>15</v>
      </c>
      <c r="H27" s="33">
        <f>65900*3+F27</f>
        <v>1002837</v>
      </c>
    </row>
    <row r="28" spans="1:8" x14ac:dyDescent="0.25">
      <c r="A28" s="21" t="s">
        <v>77</v>
      </c>
      <c r="B28" s="9" t="s">
        <v>42</v>
      </c>
      <c r="C28" s="4" t="s">
        <v>22</v>
      </c>
      <c r="D28" s="30" t="s">
        <v>23</v>
      </c>
      <c r="E28" s="39">
        <v>16</v>
      </c>
      <c r="F28" s="33">
        <v>1109984</v>
      </c>
      <c r="G28" s="38">
        <f>3+E28</f>
        <v>19</v>
      </c>
      <c r="H28" s="33">
        <f>65900*2+72483+F28</f>
        <v>1314267</v>
      </c>
    </row>
    <row r="29" spans="1:8" x14ac:dyDescent="0.25">
      <c r="A29" s="21" t="s">
        <v>78</v>
      </c>
      <c r="B29" s="9" t="s">
        <v>42</v>
      </c>
      <c r="C29" s="4" t="s">
        <v>22</v>
      </c>
      <c r="D29" s="30" t="s">
        <v>23</v>
      </c>
      <c r="E29" s="39">
        <v>0</v>
      </c>
      <c r="F29" s="33">
        <v>0</v>
      </c>
      <c r="G29" s="39">
        <v>1</v>
      </c>
      <c r="H29" s="33">
        <v>70900</v>
      </c>
    </row>
    <row r="30" spans="1:8" x14ac:dyDescent="0.25">
      <c r="A30" s="21" t="s">
        <v>79</v>
      </c>
      <c r="B30" s="9" t="s">
        <v>42</v>
      </c>
      <c r="C30" s="4" t="s">
        <v>22</v>
      </c>
      <c r="D30" s="30" t="s">
        <v>23</v>
      </c>
      <c r="E30" s="39">
        <f>18.5-7/2</f>
        <v>15</v>
      </c>
      <c r="F30" s="33">
        <v>1133437</v>
      </c>
      <c r="G30" s="39">
        <f>1.5+E30</f>
        <v>16.5</v>
      </c>
      <c r="H30" s="33">
        <f>102142+F30</f>
        <v>1235579</v>
      </c>
    </row>
    <row r="31" spans="1:8" x14ac:dyDescent="0.25">
      <c r="A31" s="64" t="s">
        <v>80</v>
      </c>
      <c r="B31" s="9" t="s">
        <v>42</v>
      </c>
      <c r="C31" s="4" t="s">
        <v>22</v>
      </c>
      <c r="D31" s="30" t="s">
        <v>23</v>
      </c>
      <c r="E31" s="39">
        <v>4.5</v>
      </c>
      <c r="F31" s="33">
        <v>335385</v>
      </c>
      <c r="G31" s="38">
        <f>0.5+E31</f>
        <v>5</v>
      </c>
      <c r="H31" s="33">
        <f>25521+F31</f>
        <v>360906</v>
      </c>
    </row>
    <row r="32" spans="1:8" x14ac:dyDescent="0.25">
      <c r="A32" s="21" t="s">
        <v>81</v>
      </c>
      <c r="B32" s="9" t="s">
        <v>42</v>
      </c>
      <c r="C32" s="4" t="s">
        <v>22</v>
      </c>
      <c r="D32" s="30" t="s">
        <v>23</v>
      </c>
      <c r="E32" s="39">
        <v>0.5</v>
      </c>
      <c r="F32" s="33">
        <v>33749</v>
      </c>
      <c r="G32" s="38">
        <f>0.5+E32</f>
        <v>1</v>
      </c>
      <c r="H32" s="33">
        <f>36241+F32</f>
        <v>69990</v>
      </c>
    </row>
    <row r="33" spans="1:8" x14ac:dyDescent="0.25">
      <c r="A33" s="21" t="s">
        <v>82</v>
      </c>
      <c r="B33" s="9" t="s">
        <v>42</v>
      </c>
      <c r="C33" s="4" t="s">
        <v>22</v>
      </c>
      <c r="D33" s="30" t="s">
        <v>23</v>
      </c>
      <c r="E33" s="39">
        <v>0.5</v>
      </c>
      <c r="F33" s="25">
        <v>24303</v>
      </c>
      <c r="G33" s="38">
        <f>0.5+E33</f>
        <v>1</v>
      </c>
      <c r="H33" s="33">
        <f>25521+F33</f>
        <v>49824</v>
      </c>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26</v>
      </c>
      <c r="E45" s="43">
        <f>SUM(E24:E44)</f>
        <v>72.5</v>
      </c>
      <c r="F45" s="35">
        <f>SUM(F24:F44)</f>
        <v>5142661.9800000004</v>
      </c>
      <c r="G45" s="42">
        <f>SUM(G24:G44)</f>
        <v>91.5</v>
      </c>
      <c r="H45" s="35">
        <f>SUM(H12:H44)</f>
        <v>6398069.9800000004</v>
      </c>
    </row>
    <row r="46" spans="1:8" x14ac:dyDescent="0.25">
      <c r="A46" s="1"/>
      <c r="C46" s="1"/>
      <c r="D46" s="31" t="s">
        <v>27</v>
      </c>
      <c r="E46" s="48"/>
      <c r="F46" s="32"/>
      <c r="G46" s="49">
        <f>G45-E45</f>
        <v>19</v>
      </c>
      <c r="H46" s="67">
        <f>H45-F45</f>
        <v>1255408</v>
      </c>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300-000000000000}">
          <x14:formula1>
            <xm:f>'Category Definitions'!$A$3:$A$14</xm:f>
          </x14:formula1>
          <xm:sqref>B24:B44</xm:sqref>
        </x14:dataValidation>
        <x14:dataValidation type="list" allowBlank="1" showInputMessage="1" showErrorMessage="1" xr:uid="{00000000-0002-0000-0300-000001000000}">
          <x14:formula1>
            <xm:f>'Category Definitions'!$I$23:$I$32</xm:f>
          </x14:formula1>
          <xm:sqref>B10:C13</xm:sqref>
        </x14:dataValidation>
        <x14:dataValidation type="list" allowBlank="1" showInputMessage="1" showErrorMessage="1" prompt="Select the appropriate expenditure type." xr:uid="{00000000-0002-0000-0300-000002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300-000003000000}">
          <x14:formula1>
            <xm:f>'Category Definitions'!$F$3:$F$4</xm:f>
          </x14:formula1>
          <xm:sqref>D24:D44</xm:sqref>
        </x14:dataValidation>
        <x14:dataValidation type="list" allowBlank="1" showInputMessage="1" showErrorMessage="1" prompt="Please indicate the appropriate expenditure type." xr:uid="{00000000-0002-0000-0300-000004000000}">
          <x14:formula1>
            <xm:f>'Category Definitions'!$C$2:$C$12</xm:f>
          </x14:formula1>
          <xm:sqref>C45</xm:sqref>
        </x14:dataValidation>
        <x14:dataValidation type="list" allowBlank="1" showInputMessage="1" showErrorMessage="1" xr:uid="{00000000-0002-0000-0300-000005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300-000006000000}">
          <x14:formula1>
            <xm:f>'Category Definitions'!A10:A16</xm:f>
          </x14:formula1>
          <xm:sqref>B45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1"/>
  <sheetViews>
    <sheetView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5" t="s">
        <v>1</v>
      </c>
      <c r="B8" s="81" t="s">
        <v>83</v>
      </c>
      <c r="C8" s="82"/>
      <c r="D8" s="29"/>
    </row>
    <row r="9" spans="1:4" x14ac:dyDescent="0.25">
      <c r="A9" s="76"/>
      <c r="B9" s="83"/>
      <c r="C9" s="84"/>
      <c r="D9" s="29"/>
    </row>
    <row r="10" spans="1:4" x14ac:dyDescent="0.25">
      <c r="A10" s="75" t="s">
        <v>3</v>
      </c>
      <c r="B10" s="81" t="s">
        <v>84</v>
      </c>
      <c r="C10" s="82"/>
      <c r="D10" s="29"/>
    </row>
    <row r="11" spans="1:4" x14ac:dyDescent="0.25">
      <c r="A11" s="76"/>
      <c r="B11" s="83"/>
      <c r="C11" s="84"/>
      <c r="D11" s="29"/>
    </row>
    <row r="12" spans="1:4" x14ac:dyDescent="0.25">
      <c r="A12" s="75" t="s">
        <v>5</v>
      </c>
      <c r="B12" s="81"/>
      <c r="C12" s="82"/>
    </row>
    <row r="13" spans="1:4" x14ac:dyDescent="0.25">
      <c r="A13" s="76"/>
      <c r="B13" s="83"/>
      <c r="C13" s="84"/>
    </row>
    <row r="14" spans="1:4" x14ac:dyDescent="0.25">
      <c r="A14" s="79" t="s">
        <v>6</v>
      </c>
      <c r="B14" s="86" t="s">
        <v>85</v>
      </c>
      <c r="C14" s="87"/>
      <c r="D14" s="16"/>
    </row>
    <row r="15" spans="1:4" x14ac:dyDescent="0.25">
      <c r="A15" s="85"/>
      <c r="B15" s="88"/>
      <c r="C15" s="89"/>
      <c r="D15" s="16"/>
    </row>
    <row r="16" spans="1:4" x14ac:dyDescent="0.25">
      <c r="A16" s="85"/>
      <c r="B16" s="88"/>
      <c r="C16" s="89"/>
      <c r="D16" s="16"/>
    </row>
    <row r="17" spans="1:8" x14ac:dyDescent="0.25">
      <c r="A17" s="85"/>
      <c r="B17" s="88"/>
      <c r="C17" s="89"/>
      <c r="D17" s="16"/>
    </row>
    <row r="18" spans="1:8" x14ac:dyDescent="0.25">
      <c r="A18" s="80"/>
      <c r="B18" s="90"/>
      <c r="C18" s="91"/>
      <c r="E18" s="44"/>
      <c r="F18" s="5"/>
    </row>
    <row r="19" spans="1:8" x14ac:dyDescent="0.25">
      <c r="A19" s="79" t="s">
        <v>8</v>
      </c>
      <c r="B19" s="68" t="s">
        <v>47</v>
      </c>
      <c r="C19" s="69"/>
      <c r="D19" s="16"/>
    </row>
    <row r="20" spans="1:8" x14ac:dyDescent="0.25">
      <c r="A20" s="80"/>
      <c r="B20" s="70"/>
      <c r="C20" s="71"/>
      <c r="E20" s="44"/>
      <c r="F20" s="5"/>
    </row>
    <row r="21" spans="1:8" ht="15.75" thickBot="1" x14ac:dyDescent="0.3">
      <c r="A21" s="7"/>
      <c r="B21" s="5"/>
    </row>
    <row r="22" spans="1:8" ht="14.85" customHeight="1" x14ac:dyDescent="0.25">
      <c r="A22" s="77" t="s">
        <v>10</v>
      </c>
      <c r="B22" s="65" t="s">
        <v>11</v>
      </c>
      <c r="C22" s="10" t="s">
        <v>12</v>
      </c>
      <c r="D22" s="22" t="s">
        <v>13</v>
      </c>
      <c r="E22" s="72" t="s">
        <v>14</v>
      </c>
      <c r="F22" s="73"/>
      <c r="G22" s="74" t="s">
        <v>15</v>
      </c>
      <c r="H22" s="73"/>
    </row>
    <row r="23" spans="1:8" s="6" customFormat="1" x14ac:dyDescent="0.25">
      <c r="A23" s="78"/>
      <c r="B23" s="66" t="s">
        <v>16</v>
      </c>
      <c r="C23" s="11" t="s">
        <v>16</v>
      </c>
      <c r="D23" s="23" t="s">
        <v>17</v>
      </c>
      <c r="E23" s="45" t="s">
        <v>18</v>
      </c>
      <c r="F23" s="24" t="s">
        <v>19</v>
      </c>
      <c r="G23" s="37" t="s">
        <v>18</v>
      </c>
      <c r="H23" s="27" t="s">
        <v>19</v>
      </c>
    </row>
    <row r="24" spans="1:8" x14ac:dyDescent="0.25">
      <c r="A24" s="21" t="s">
        <v>86</v>
      </c>
      <c r="B24" s="9" t="s">
        <v>42</v>
      </c>
      <c r="C24" s="4" t="s">
        <v>25</v>
      </c>
      <c r="D24" s="30" t="s">
        <v>23</v>
      </c>
      <c r="E24" s="39"/>
      <c r="F24" s="33">
        <f>36050+63000</f>
        <v>99050</v>
      </c>
      <c r="G24" s="38"/>
      <c r="H24" s="33">
        <f>53000+F24</f>
        <v>152050</v>
      </c>
    </row>
    <row r="25" spans="1:8" x14ac:dyDescent="0.25">
      <c r="A25" s="21" t="s">
        <v>87</v>
      </c>
      <c r="B25" s="9" t="s">
        <v>42</v>
      </c>
      <c r="C25" s="4" t="s">
        <v>25</v>
      </c>
      <c r="D25" s="30" t="s">
        <v>23</v>
      </c>
      <c r="E25" s="39"/>
      <c r="F25" s="33">
        <v>22660</v>
      </c>
      <c r="G25" s="38"/>
      <c r="H25" s="33">
        <f>17667*3+F25</f>
        <v>75661</v>
      </c>
    </row>
    <row r="26" spans="1:8" x14ac:dyDescent="0.25">
      <c r="A26" s="21" t="s">
        <v>88</v>
      </c>
      <c r="B26" s="9" t="s">
        <v>42</v>
      </c>
      <c r="C26" s="4" t="s">
        <v>25</v>
      </c>
      <c r="D26" s="30" t="s">
        <v>23</v>
      </c>
      <c r="E26" s="39"/>
      <c r="F26" s="33">
        <v>43260</v>
      </c>
      <c r="G26" s="39"/>
      <c r="H26" s="33">
        <f>53000+F26</f>
        <v>96260</v>
      </c>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26</v>
      </c>
      <c r="E45" s="43">
        <f>SUM(E24:E44)</f>
        <v>0</v>
      </c>
      <c r="F45" s="35">
        <f>SUM(F24:F44)</f>
        <v>164970</v>
      </c>
      <c r="G45" s="42">
        <f>SUM(G24:G44)</f>
        <v>0</v>
      </c>
      <c r="H45" s="35">
        <f>SUM(H12:H44)</f>
        <v>323971</v>
      </c>
    </row>
    <row r="46" spans="1:8" x14ac:dyDescent="0.25">
      <c r="A46" s="1"/>
      <c r="C46" s="1"/>
      <c r="D46" s="31" t="s">
        <v>27</v>
      </c>
      <c r="E46" s="48"/>
      <c r="F46" s="32"/>
      <c r="G46" s="49">
        <f>G45-E45</f>
        <v>0</v>
      </c>
      <c r="H46" s="67">
        <f>H45-F45</f>
        <v>159001</v>
      </c>
    </row>
    <row r="48" spans="1:8" x14ac:dyDescent="0.25">
      <c r="H48" s="50"/>
    </row>
    <row r="49" spans="8:8" x14ac:dyDescent="0.25">
      <c r="H49" s="50"/>
    </row>
    <row r="50" spans="8:8" x14ac:dyDescent="0.25">
      <c r="H50" s="50"/>
    </row>
    <row r="51" spans="8:8" x14ac:dyDescent="0.25">
      <c r="H51" s="51"/>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'Category Definitions'!$I$3:$I$21</xm:f>
          </x14:formula1>
          <xm:sqref>B8:C9</xm:sqref>
        </x14:dataValidation>
        <x14:dataValidation type="list" allowBlank="1" showInputMessage="1" showErrorMessage="1" prompt="Please indicate the appropriate expenditure type." xr:uid="{00000000-0002-0000-04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400-000002000000}">
          <x14:formula1>
            <xm:f>'Category Definitions'!$F$3:$F$4</xm:f>
          </x14:formula1>
          <xm:sqref>D24:D44</xm:sqref>
        </x14:dataValidation>
        <x14:dataValidation type="list" allowBlank="1" showInputMessage="1" showErrorMessage="1" prompt="Select the appropriate expenditure type." xr:uid="{00000000-0002-0000-0400-000003000000}">
          <x14:formula1>
            <xm:f>'Category Definitions'!$C$2:$C$12</xm:f>
          </x14:formula1>
          <xm:sqref>C24:C44</xm:sqref>
        </x14:dataValidation>
        <x14:dataValidation type="list" allowBlank="1" showInputMessage="1" showErrorMessage="1" xr:uid="{00000000-0002-0000-0400-000004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400-000005000000}">
          <x14:formula1>
            <xm:f>'Category Definitions'!$A$3:$A$14</xm:f>
          </x14:formula1>
          <xm:sqref>B24:B44</xm:sqref>
        </x14:dataValidation>
        <x14:dataValidation type="list" allowBlank="1" showInputMessage="1" showErrorMessage="1" promptTitle="Foundation Budget Expenditure" prompt="Select the appropriate Foundation Budget Expenditure Category for the budgeted cost" xr:uid="{00000000-0002-0000-0400-000006000000}">
          <x14:formula1>
            <xm:f>'Category Definitions'!A10:A16</xm:f>
          </x14:formula1>
          <xm:sqref>B45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5" t="s">
        <v>1</v>
      </c>
      <c r="B8" s="81" t="s">
        <v>89</v>
      </c>
      <c r="C8" s="82"/>
      <c r="D8" s="29"/>
    </row>
    <row r="9" spans="1:4" x14ac:dyDescent="0.25">
      <c r="A9" s="76"/>
      <c r="B9" s="83"/>
      <c r="C9" s="84"/>
      <c r="D9" s="29"/>
    </row>
    <row r="10" spans="1:4" x14ac:dyDescent="0.25">
      <c r="A10" s="75" t="s">
        <v>3</v>
      </c>
      <c r="B10" s="81" t="s">
        <v>90</v>
      </c>
      <c r="C10" s="82"/>
      <c r="D10" s="29"/>
    </row>
    <row r="11" spans="1:4" x14ac:dyDescent="0.25">
      <c r="A11" s="76"/>
      <c r="B11" s="83"/>
      <c r="C11" s="84"/>
      <c r="D11" s="29"/>
    </row>
    <row r="12" spans="1:4" x14ac:dyDescent="0.25">
      <c r="A12" s="75" t="s">
        <v>5</v>
      </c>
      <c r="B12" s="81"/>
      <c r="C12" s="82"/>
    </row>
    <row r="13" spans="1:4" x14ac:dyDescent="0.25">
      <c r="A13" s="76"/>
      <c r="B13" s="83"/>
      <c r="C13" s="84"/>
    </row>
    <row r="14" spans="1:4" x14ac:dyDescent="0.25">
      <c r="A14" s="79" t="s">
        <v>6</v>
      </c>
      <c r="B14" s="86" t="s">
        <v>91</v>
      </c>
      <c r="C14" s="87"/>
      <c r="D14" s="16"/>
    </row>
    <row r="15" spans="1:4" x14ac:dyDescent="0.25">
      <c r="A15" s="85"/>
      <c r="B15" s="88"/>
      <c r="C15" s="89"/>
      <c r="D15" s="16"/>
    </row>
    <row r="16" spans="1:4" x14ac:dyDescent="0.25">
      <c r="A16" s="85"/>
      <c r="B16" s="88"/>
      <c r="C16" s="89"/>
      <c r="D16" s="16"/>
    </row>
    <row r="17" spans="1:8" x14ac:dyDescent="0.25">
      <c r="A17" s="85"/>
      <c r="B17" s="88"/>
      <c r="C17" s="89"/>
      <c r="D17" s="16"/>
    </row>
    <row r="18" spans="1:8" x14ac:dyDescent="0.25">
      <c r="A18" s="80"/>
      <c r="B18" s="90"/>
      <c r="C18" s="91"/>
      <c r="E18" s="44"/>
      <c r="F18" s="5"/>
    </row>
    <row r="19" spans="1:8" x14ac:dyDescent="0.25">
      <c r="A19" s="79" t="s">
        <v>8</v>
      </c>
      <c r="B19" s="68" t="s">
        <v>92</v>
      </c>
      <c r="C19" s="69"/>
      <c r="D19" s="16"/>
    </row>
    <row r="20" spans="1:8" x14ac:dyDescent="0.25">
      <c r="A20" s="80"/>
      <c r="B20" s="70"/>
      <c r="C20" s="71"/>
      <c r="E20" s="44"/>
      <c r="F20" s="5"/>
    </row>
    <row r="21" spans="1:8" ht="15.75" thickBot="1" x14ac:dyDescent="0.3">
      <c r="A21" s="7"/>
      <c r="B21" s="5"/>
    </row>
    <row r="22" spans="1:8" ht="14.85" customHeight="1" x14ac:dyDescent="0.25">
      <c r="A22" s="77" t="s">
        <v>10</v>
      </c>
      <c r="B22" s="65" t="s">
        <v>11</v>
      </c>
      <c r="C22" s="10" t="s">
        <v>12</v>
      </c>
      <c r="D22" s="22" t="s">
        <v>13</v>
      </c>
      <c r="E22" s="72" t="s">
        <v>14</v>
      </c>
      <c r="F22" s="73"/>
      <c r="G22" s="74" t="s">
        <v>15</v>
      </c>
      <c r="H22" s="73"/>
    </row>
    <row r="23" spans="1:8" s="6" customFormat="1" x14ac:dyDescent="0.25">
      <c r="A23" s="78"/>
      <c r="B23" s="66" t="s">
        <v>16</v>
      </c>
      <c r="C23" s="11" t="s">
        <v>16</v>
      </c>
      <c r="D23" s="23" t="s">
        <v>17</v>
      </c>
      <c r="E23" s="45" t="s">
        <v>18</v>
      </c>
      <c r="F23" s="24" t="s">
        <v>19</v>
      </c>
      <c r="G23" s="37" t="s">
        <v>18</v>
      </c>
      <c r="H23" s="27" t="s">
        <v>19</v>
      </c>
    </row>
    <row r="24" spans="1:8" x14ac:dyDescent="0.25">
      <c r="A24" s="21" t="s">
        <v>93</v>
      </c>
      <c r="B24" s="9" t="s">
        <v>94</v>
      </c>
      <c r="C24" s="4" t="s">
        <v>95</v>
      </c>
      <c r="D24" s="30" t="s">
        <v>23</v>
      </c>
      <c r="E24" s="39">
        <v>0</v>
      </c>
      <c r="F24" s="33">
        <v>0</v>
      </c>
      <c r="G24" s="38">
        <v>1</v>
      </c>
      <c r="H24" s="33">
        <v>48000</v>
      </c>
    </row>
    <row r="25" spans="1:8" x14ac:dyDescent="0.25">
      <c r="A25" s="21" t="s">
        <v>96</v>
      </c>
      <c r="B25" s="9" t="s">
        <v>34</v>
      </c>
      <c r="C25" s="4" t="s">
        <v>97</v>
      </c>
      <c r="D25" s="30" t="s">
        <v>23</v>
      </c>
      <c r="E25" s="39">
        <v>0</v>
      </c>
      <c r="F25" s="33">
        <v>0</v>
      </c>
      <c r="G25" s="38">
        <v>0</v>
      </c>
      <c r="H25" s="33">
        <v>380000</v>
      </c>
    </row>
    <row r="26" spans="1:8" x14ac:dyDescent="0.25">
      <c r="A26" s="21" t="s">
        <v>98</v>
      </c>
      <c r="B26" s="9" t="s">
        <v>34</v>
      </c>
      <c r="C26" s="4" t="s">
        <v>97</v>
      </c>
      <c r="D26" s="30" t="s">
        <v>23</v>
      </c>
      <c r="E26" s="39">
        <v>0</v>
      </c>
      <c r="F26" s="33">
        <v>0</v>
      </c>
      <c r="G26" s="39">
        <v>0</v>
      </c>
      <c r="H26" s="33">
        <v>29757</v>
      </c>
    </row>
    <row r="27" spans="1:8" x14ac:dyDescent="0.25">
      <c r="A27" s="21" t="s">
        <v>99</v>
      </c>
      <c r="B27" s="9" t="s">
        <v>34</v>
      </c>
      <c r="C27" s="4" t="s">
        <v>35</v>
      </c>
      <c r="D27" s="30" t="s">
        <v>23</v>
      </c>
      <c r="E27" s="39">
        <v>39</v>
      </c>
      <c r="F27" s="33">
        <v>2267601</v>
      </c>
      <c r="G27" s="38">
        <f>1+E27</f>
        <v>40</v>
      </c>
      <c r="H27" s="33">
        <f>46277+F27</f>
        <v>2313878</v>
      </c>
    </row>
    <row r="28" spans="1:8" x14ac:dyDescent="0.25">
      <c r="A28" s="21" t="s">
        <v>100</v>
      </c>
      <c r="B28" s="9" t="s">
        <v>34</v>
      </c>
      <c r="C28" s="4" t="s">
        <v>35</v>
      </c>
      <c r="D28" s="30" t="s">
        <v>23</v>
      </c>
      <c r="E28" s="39">
        <v>18.84</v>
      </c>
      <c r="F28" s="33">
        <v>616106</v>
      </c>
      <c r="G28" s="38">
        <f>0.5+E28</f>
        <v>19.34</v>
      </c>
      <c r="H28" s="33">
        <f>18208+F28</f>
        <v>634314</v>
      </c>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26</v>
      </c>
      <c r="E45" s="43">
        <f>SUM(E24:E44)</f>
        <v>57.84</v>
      </c>
      <c r="F45" s="35">
        <f>SUM(F24:F44)</f>
        <v>2883707</v>
      </c>
      <c r="G45" s="42">
        <f>SUM(G24:G44)</f>
        <v>60.34</v>
      </c>
      <c r="H45" s="35">
        <f>SUM(H12:H44)</f>
        <v>3405949</v>
      </c>
    </row>
    <row r="46" spans="1:8" x14ac:dyDescent="0.25">
      <c r="A46" s="1"/>
      <c r="C46" s="1"/>
      <c r="D46" s="31" t="s">
        <v>27</v>
      </c>
      <c r="E46" s="48"/>
      <c r="F46" s="32"/>
      <c r="G46" s="49">
        <f>G45-E45</f>
        <v>2.5</v>
      </c>
      <c r="H46" s="67">
        <f>H45-F45</f>
        <v>522242</v>
      </c>
    </row>
    <row r="48" spans="1:8" x14ac:dyDescent="0.25">
      <c r="H48" s="50"/>
    </row>
    <row r="49" spans="8:8" x14ac:dyDescent="0.25">
      <c r="H49" s="50"/>
    </row>
    <row r="50" spans="8:8" x14ac:dyDescent="0.25">
      <c r="H50" s="50"/>
    </row>
    <row r="51" spans="8:8" x14ac:dyDescent="0.25">
      <c r="H51" s="51"/>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500-000000000000}">
          <x14:formula1>
            <xm:f>'Category Definitions'!$A$3:$A$14</xm:f>
          </x14:formula1>
          <xm:sqref>B24:B44</xm:sqref>
        </x14:dataValidation>
        <x14:dataValidation type="list" allowBlank="1" showInputMessage="1" showErrorMessage="1" xr:uid="{00000000-0002-0000-0500-000001000000}">
          <x14:formula1>
            <xm:f>'Category Definitions'!$I$23:$I$32</xm:f>
          </x14:formula1>
          <xm:sqref>B10:C13</xm:sqref>
        </x14:dataValidation>
        <x14:dataValidation type="list" allowBlank="1" showInputMessage="1" showErrorMessage="1" prompt="Select the appropriate expenditure type." xr:uid="{00000000-0002-0000-0500-000002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500-000003000000}">
          <x14:formula1>
            <xm:f>'Category Definitions'!$F$3:$F$4</xm:f>
          </x14:formula1>
          <xm:sqref>D24:D44</xm:sqref>
        </x14:dataValidation>
        <x14:dataValidation type="list" allowBlank="1" showInputMessage="1" showErrorMessage="1" prompt="Please indicate the appropriate expenditure type." xr:uid="{00000000-0002-0000-0500-000004000000}">
          <x14:formula1>
            <xm:f>'Category Definitions'!$C$2:$C$12</xm:f>
          </x14:formula1>
          <xm:sqref>C45</xm:sqref>
        </x14:dataValidation>
        <x14:dataValidation type="list" allowBlank="1" showInputMessage="1" showErrorMessage="1" xr:uid="{00000000-0002-0000-0500-000005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500-000006000000}">
          <x14:formula1>
            <xm:f>'Category Definitions'!A10:A16</xm:f>
          </x14:formula1>
          <xm:sqref>B45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1"/>
  <sheetViews>
    <sheetView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5" t="s">
        <v>1</v>
      </c>
      <c r="B8" s="81" t="s">
        <v>101</v>
      </c>
      <c r="C8" s="82"/>
      <c r="D8" s="29"/>
    </row>
    <row r="9" spans="1:4" x14ac:dyDescent="0.25">
      <c r="A9" s="76"/>
      <c r="B9" s="83"/>
      <c r="C9" s="84"/>
      <c r="D9" s="29"/>
    </row>
    <row r="10" spans="1:4" x14ac:dyDescent="0.25">
      <c r="A10" s="75" t="s">
        <v>3</v>
      </c>
      <c r="B10" s="81" t="s">
        <v>44</v>
      </c>
      <c r="C10" s="82"/>
      <c r="D10" s="29"/>
    </row>
    <row r="11" spans="1:4" x14ac:dyDescent="0.25">
      <c r="A11" s="76"/>
      <c r="B11" s="83"/>
      <c r="C11" s="84"/>
      <c r="D11" s="29"/>
    </row>
    <row r="12" spans="1:4" x14ac:dyDescent="0.25">
      <c r="A12" s="75" t="s">
        <v>5</v>
      </c>
      <c r="B12" s="81" t="s">
        <v>102</v>
      </c>
      <c r="C12" s="82"/>
    </row>
    <row r="13" spans="1:4" x14ac:dyDescent="0.25">
      <c r="A13" s="76"/>
      <c r="B13" s="83"/>
      <c r="C13" s="84"/>
    </row>
    <row r="14" spans="1:4" x14ac:dyDescent="0.25">
      <c r="A14" s="79" t="s">
        <v>6</v>
      </c>
      <c r="B14" s="86" t="s">
        <v>103</v>
      </c>
      <c r="C14" s="87"/>
      <c r="D14" s="16"/>
    </row>
    <row r="15" spans="1:4" x14ac:dyDescent="0.25">
      <c r="A15" s="85"/>
      <c r="B15" s="88"/>
      <c r="C15" s="89"/>
      <c r="D15" s="16"/>
    </row>
    <row r="16" spans="1:4" x14ac:dyDescent="0.25">
      <c r="A16" s="85"/>
      <c r="B16" s="88"/>
      <c r="C16" s="89"/>
      <c r="D16" s="16"/>
    </row>
    <row r="17" spans="1:8" x14ac:dyDescent="0.25">
      <c r="A17" s="85"/>
      <c r="B17" s="88"/>
      <c r="C17" s="89"/>
      <c r="D17" s="16"/>
    </row>
    <row r="18" spans="1:8" x14ac:dyDescent="0.25">
      <c r="A18" s="80"/>
      <c r="B18" s="90"/>
      <c r="C18" s="91"/>
      <c r="E18" s="44"/>
      <c r="F18" s="5"/>
    </row>
    <row r="19" spans="1:8" x14ac:dyDescent="0.25">
      <c r="A19" s="79" t="s">
        <v>8</v>
      </c>
      <c r="B19" s="68" t="s">
        <v>47</v>
      </c>
      <c r="C19" s="69"/>
      <c r="D19" s="16"/>
    </row>
    <row r="20" spans="1:8" x14ac:dyDescent="0.25">
      <c r="A20" s="80"/>
      <c r="B20" s="70"/>
      <c r="C20" s="71"/>
      <c r="E20" s="44"/>
      <c r="F20" s="5"/>
    </row>
    <row r="21" spans="1:8" ht="15.75" thickBot="1" x14ac:dyDescent="0.3">
      <c r="A21" s="7"/>
      <c r="B21" s="5"/>
    </row>
    <row r="22" spans="1:8" ht="14.85" customHeight="1" x14ac:dyDescent="0.25">
      <c r="A22" s="77" t="s">
        <v>10</v>
      </c>
      <c r="B22" s="65" t="s">
        <v>11</v>
      </c>
      <c r="C22" s="10" t="s">
        <v>12</v>
      </c>
      <c r="D22" s="22" t="s">
        <v>13</v>
      </c>
      <c r="E22" s="72" t="s">
        <v>14</v>
      </c>
      <c r="F22" s="73"/>
      <c r="G22" s="74" t="s">
        <v>15</v>
      </c>
      <c r="H22" s="73"/>
    </row>
    <row r="23" spans="1:8" s="6" customFormat="1" x14ac:dyDescent="0.25">
      <c r="A23" s="78"/>
      <c r="B23" s="66" t="s">
        <v>16</v>
      </c>
      <c r="C23" s="11" t="s">
        <v>16</v>
      </c>
      <c r="D23" s="23" t="s">
        <v>17</v>
      </c>
      <c r="E23" s="45" t="s">
        <v>18</v>
      </c>
      <c r="F23" s="24" t="s">
        <v>19</v>
      </c>
      <c r="G23" s="37" t="s">
        <v>18</v>
      </c>
      <c r="H23" s="27" t="s">
        <v>19</v>
      </c>
    </row>
    <row r="24" spans="1:8" x14ac:dyDescent="0.25">
      <c r="A24" s="21" t="s">
        <v>104</v>
      </c>
      <c r="B24" s="9" t="s">
        <v>51</v>
      </c>
      <c r="C24" s="4" t="s">
        <v>35</v>
      </c>
      <c r="D24" s="30" t="s">
        <v>23</v>
      </c>
      <c r="E24" s="39">
        <v>0</v>
      </c>
      <c r="F24" s="33">
        <v>0</v>
      </c>
      <c r="G24" s="38">
        <v>1</v>
      </c>
      <c r="H24" s="33">
        <v>68400</v>
      </c>
    </row>
    <row r="25" spans="1:8" x14ac:dyDescent="0.25">
      <c r="A25" s="21" t="s">
        <v>105</v>
      </c>
      <c r="B25" s="9" t="s">
        <v>39</v>
      </c>
      <c r="C25" s="4" t="s">
        <v>52</v>
      </c>
      <c r="D25" s="30" t="s">
        <v>23</v>
      </c>
      <c r="E25" s="39">
        <v>0</v>
      </c>
      <c r="F25" s="33">
        <v>0</v>
      </c>
      <c r="G25" s="38">
        <v>0</v>
      </c>
      <c r="H25" s="33">
        <v>123992</v>
      </c>
    </row>
    <row r="26" spans="1:8" x14ac:dyDescent="0.25">
      <c r="A26" s="21" t="s">
        <v>106</v>
      </c>
      <c r="B26" s="9" t="s">
        <v>42</v>
      </c>
      <c r="C26" s="4" t="s">
        <v>22</v>
      </c>
      <c r="D26" s="30" t="s">
        <v>23</v>
      </c>
      <c r="E26" s="39">
        <v>0</v>
      </c>
      <c r="F26" s="33">
        <v>0</v>
      </c>
      <c r="G26" s="39">
        <v>0</v>
      </c>
      <c r="H26" s="33">
        <f>2017213-1</f>
        <v>2017212</v>
      </c>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26</v>
      </c>
      <c r="E45" s="43">
        <f>SUM(E24:E44)</f>
        <v>0</v>
      </c>
      <c r="F45" s="35">
        <f>SUM(F24:F44)</f>
        <v>0</v>
      </c>
      <c r="G45" s="42">
        <f>SUM(G24:G44)</f>
        <v>1</v>
      </c>
      <c r="H45" s="35">
        <f>SUM(H12:H44)</f>
        <v>2209604</v>
      </c>
    </row>
    <row r="46" spans="1:8" x14ac:dyDescent="0.25">
      <c r="A46" s="1"/>
      <c r="C46" s="1"/>
      <c r="D46" s="31" t="s">
        <v>27</v>
      </c>
      <c r="E46" s="48"/>
      <c r="F46" s="32"/>
      <c r="G46" s="49">
        <f>G45-E45</f>
        <v>1</v>
      </c>
      <c r="H46" s="67">
        <f>H45-F45</f>
        <v>2209604</v>
      </c>
    </row>
    <row r="48" spans="1:8" x14ac:dyDescent="0.25">
      <c r="H48" s="50"/>
    </row>
    <row r="49" spans="8:8" x14ac:dyDescent="0.25">
      <c r="H49" s="50"/>
    </row>
    <row r="50" spans="8:8" x14ac:dyDescent="0.25">
      <c r="H50" s="50"/>
    </row>
    <row r="51" spans="8:8" x14ac:dyDescent="0.25">
      <c r="H51" s="51"/>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600-000000000000}">
          <x14:formula1>
            <xm:f>'Category Definitions'!$A$3:$A$14</xm:f>
          </x14:formula1>
          <xm:sqref>B24:B44</xm:sqref>
        </x14:dataValidation>
        <x14:dataValidation type="list" allowBlank="1" showInputMessage="1" showErrorMessage="1" xr:uid="{00000000-0002-0000-0600-000001000000}">
          <x14:formula1>
            <xm:f>'Category Definitions'!$I$23:$I$32</xm:f>
          </x14:formula1>
          <xm:sqref>B10:C13</xm:sqref>
        </x14:dataValidation>
        <x14:dataValidation type="list" allowBlank="1" showInputMessage="1" showErrorMessage="1" prompt="Select the appropriate expenditure type." xr:uid="{00000000-0002-0000-0600-000002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600-000003000000}">
          <x14:formula1>
            <xm:f>'Category Definitions'!$F$3:$F$4</xm:f>
          </x14:formula1>
          <xm:sqref>D24:D44</xm:sqref>
        </x14:dataValidation>
        <x14:dataValidation type="list" allowBlank="1" showInputMessage="1" showErrorMessage="1" prompt="Please indicate the appropriate expenditure type." xr:uid="{00000000-0002-0000-0600-000004000000}">
          <x14:formula1>
            <xm:f>'Category Definitions'!$C$2:$C$12</xm:f>
          </x14:formula1>
          <xm:sqref>C45</xm:sqref>
        </x14:dataValidation>
        <x14:dataValidation type="list" allowBlank="1" showInputMessage="1" showErrorMessage="1" xr:uid="{00000000-0002-0000-0600-000005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600-000006000000}">
          <x14:formula1>
            <xm:f>'Category Definitions'!A10:A16</xm:f>
          </x14:formula1>
          <xm:sqref>B45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1"/>
  <sheetViews>
    <sheetView zoomScaleNormal="100" workbookViewId="0"/>
  </sheetViews>
  <sheetFormatPr defaultColWidth="8.7109375" defaultRowHeight="15" x14ac:dyDescent="0.25"/>
  <cols>
    <col min="1" max="1" width="66.7109375" style="2" customWidth="1"/>
    <col min="2" max="2" width="42.28515625" style="3" customWidth="1"/>
    <col min="3" max="3" width="30.28515625" style="2" customWidth="1"/>
    <col min="4" max="4" width="18.28515625" style="28" customWidth="1"/>
    <col min="5" max="5" width="6.140625" style="36" customWidth="1"/>
    <col min="6" max="6" width="15" style="2" customWidth="1"/>
    <col min="7" max="7" width="6.140625" style="36" customWidth="1"/>
    <col min="8" max="8" width="14.7109375" style="2" bestFit="1" customWidth="1"/>
    <col min="9" max="16384" width="8.71093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75" t="s">
        <v>1</v>
      </c>
      <c r="B8" s="81" t="s">
        <v>107</v>
      </c>
      <c r="C8" s="82"/>
      <c r="D8" s="29"/>
    </row>
    <row r="9" spans="1:4" x14ac:dyDescent="0.25">
      <c r="A9" s="76"/>
      <c r="B9" s="83"/>
      <c r="C9" s="84"/>
      <c r="D9" s="29"/>
    </row>
    <row r="10" spans="1:4" x14ac:dyDescent="0.25">
      <c r="A10" s="75" t="s">
        <v>3</v>
      </c>
      <c r="B10" s="81" t="s">
        <v>108</v>
      </c>
      <c r="C10" s="82"/>
      <c r="D10" s="29"/>
    </row>
    <row r="11" spans="1:4" x14ac:dyDescent="0.25">
      <c r="A11" s="76"/>
      <c r="B11" s="83"/>
      <c r="C11" s="84"/>
      <c r="D11" s="29"/>
    </row>
    <row r="12" spans="1:4" x14ac:dyDescent="0.25">
      <c r="A12" s="75" t="s">
        <v>5</v>
      </c>
      <c r="B12" s="81" t="s">
        <v>44</v>
      </c>
      <c r="C12" s="82"/>
    </row>
    <row r="13" spans="1:4" x14ac:dyDescent="0.25">
      <c r="A13" s="76"/>
      <c r="B13" s="83"/>
      <c r="C13" s="84"/>
    </row>
    <row r="14" spans="1:4" x14ac:dyDescent="0.25">
      <c r="A14" s="79" t="s">
        <v>6</v>
      </c>
      <c r="B14" s="86" t="s">
        <v>109</v>
      </c>
      <c r="C14" s="87"/>
      <c r="D14" s="16"/>
    </row>
    <row r="15" spans="1:4" x14ac:dyDescent="0.25">
      <c r="A15" s="85"/>
      <c r="B15" s="88"/>
      <c r="C15" s="89"/>
      <c r="D15" s="16"/>
    </row>
    <row r="16" spans="1:4" x14ac:dyDescent="0.25">
      <c r="A16" s="85"/>
      <c r="B16" s="88"/>
      <c r="C16" s="89"/>
      <c r="D16" s="16"/>
    </row>
    <row r="17" spans="1:8" x14ac:dyDescent="0.25">
      <c r="A17" s="85"/>
      <c r="B17" s="88"/>
      <c r="C17" s="89"/>
      <c r="D17" s="16"/>
    </row>
    <row r="18" spans="1:8" x14ac:dyDescent="0.25">
      <c r="A18" s="80"/>
      <c r="B18" s="90"/>
      <c r="C18" s="91"/>
      <c r="E18" s="44"/>
      <c r="F18" s="5"/>
    </row>
    <row r="19" spans="1:8" x14ac:dyDescent="0.25">
      <c r="A19" s="79" t="s">
        <v>8</v>
      </c>
      <c r="B19" s="68" t="s">
        <v>47</v>
      </c>
      <c r="C19" s="69"/>
      <c r="D19" s="16"/>
    </row>
    <row r="20" spans="1:8" x14ac:dyDescent="0.25">
      <c r="A20" s="80"/>
      <c r="B20" s="70"/>
      <c r="C20" s="71"/>
      <c r="E20" s="44"/>
      <c r="F20" s="5"/>
    </row>
    <row r="21" spans="1:8" ht="15.75" thickBot="1" x14ac:dyDescent="0.3">
      <c r="A21" s="7"/>
      <c r="B21" s="5"/>
    </row>
    <row r="22" spans="1:8" ht="14.85" customHeight="1" x14ac:dyDescent="0.25">
      <c r="A22" s="77" t="s">
        <v>10</v>
      </c>
      <c r="B22" s="65" t="s">
        <v>11</v>
      </c>
      <c r="C22" s="10" t="s">
        <v>12</v>
      </c>
      <c r="D22" s="22" t="s">
        <v>13</v>
      </c>
      <c r="E22" s="72" t="s">
        <v>14</v>
      </c>
      <c r="F22" s="73"/>
      <c r="G22" s="74" t="s">
        <v>15</v>
      </c>
      <c r="H22" s="73"/>
    </row>
    <row r="23" spans="1:8" s="6" customFormat="1" x14ac:dyDescent="0.25">
      <c r="A23" s="78"/>
      <c r="B23" s="66" t="s">
        <v>16</v>
      </c>
      <c r="C23" s="11" t="s">
        <v>16</v>
      </c>
      <c r="D23" s="23" t="s">
        <v>17</v>
      </c>
      <c r="E23" s="45" t="s">
        <v>18</v>
      </c>
      <c r="F23" s="24" t="s">
        <v>19</v>
      </c>
      <c r="G23" s="37" t="s">
        <v>18</v>
      </c>
      <c r="H23" s="27" t="s">
        <v>19</v>
      </c>
    </row>
    <row r="24" spans="1:8" x14ac:dyDescent="0.25">
      <c r="A24" s="21" t="s">
        <v>110</v>
      </c>
      <c r="B24" s="9" t="s">
        <v>39</v>
      </c>
      <c r="C24" s="4" t="s">
        <v>52</v>
      </c>
      <c r="D24" s="30" t="s">
        <v>23</v>
      </c>
      <c r="E24" s="39">
        <v>0</v>
      </c>
      <c r="F24" s="33">
        <v>0</v>
      </c>
      <c r="G24" s="38">
        <v>0</v>
      </c>
      <c r="H24" s="33">
        <v>123992</v>
      </c>
    </row>
    <row r="25" spans="1:8" x14ac:dyDescent="0.25">
      <c r="A25" s="21" t="s">
        <v>111</v>
      </c>
      <c r="B25" s="9" t="s">
        <v>42</v>
      </c>
      <c r="C25" s="4" t="s">
        <v>22</v>
      </c>
      <c r="D25" s="30" t="s">
        <v>23</v>
      </c>
      <c r="E25" s="39">
        <v>0</v>
      </c>
      <c r="F25" s="33">
        <v>0</v>
      </c>
      <c r="G25" s="38">
        <v>0</v>
      </c>
      <c r="H25" s="33">
        <f>2017213-1</f>
        <v>2017212</v>
      </c>
    </row>
    <row r="26" spans="1:8" x14ac:dyDescent="0.25">
      <c r="A26" s="21"/>
      <c r="B26" s="9"/>
      <c r="C26" s="4"/>
      <c r="D26" s="30"/>
      <c r="E26" s="39"/>
      <c r="F26" s="33"/>
      <c r="G26" s="39"/>
      <c r="H26" s="33"/>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26</v>
      </c>
      <c r="E45" s="43">
        <f>SUM(E24:E44)</f>
        <v>0</v>
      </c>
      <c r="F45" s="35">
        <f>SUM(F24:F44)</f>
        <v>0</v>
      </c>
      <c r="G45" s="42">
        <f>SUM(G24:G44)</f>
        <v>0</v>
      </c>
      <c r="H45" s="35">
        <f>SUM(H12:H44)</f>
        <v>2141204</v>
      </c>
    </row>
    <row r="46" spans="1:8" x14ac:dyDescent="0.25">
      <c r="A46" s="1"/>
      <c r="C46" s="1"/>
      <c r="D46" s="31" t="s">
        <v>27</v>
      </c>
      <c r="E46" s="48"/>
      <c r="F46" s="32"/>
      <c r="G46" s="49">
        <f>G45-E45</f>
        <v>0</v>
      </c>
      <c r="H46" s="67">
        <f>H45-F45</f>
        <v>2141204</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0000000}">
          <x14:formula1>
            <xm:f>'Category Definitions'!$I$3:$I$21</xm:f>
          </x14:formula1>
          <xm:sqref>B8:C9</xm:sqref>
        </x14:dataValidation>
        <x14:dataValidation type="list" allowBlank="1" showInputMessage="1" showErrorMessage="1" prompt="Please indicate the appropriate expenditure type." xr:uid="{00000000-0002-0000-07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700-000002000000}">
          <x14:formula1>
            <xm:f>'Category Definitions'!$F$3:$F$4</xm:f>
          </x14:formula1>
          <xm:sqref>D24:D44</xm:sqref>
        </x14:dataValidation>
        <x14:dataValidation type="list" allowBlank="1" showInputMessage="1" showErrorMessage="1" prompt="Select the appropriate expenditure type." xr:uid="{00000000-0002-0000-0700-000003000000}">
          <x14:formula1>
            <xm:f>'Category Definitions'!$C$2:$C$12</xm:f>
          </x14:formula1>
          <xm:sqref>C24:C44</xm:sqref>
        </x14:dataValidation>
        <x14:dataValidation type="list" allowBlank="1" showInputMessage="1" showErrorMessage="1" xr:uid="{00000000-0002-0000-0700-000004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700-000005000000}">
          <x14:formula1>
            <xm:f>'Category Definitions'!$A$3:$A$14</xm:f>
          </x14:formula1>
          <xm:sqref>B24:B44</xm:sqref>
        </x14:dataValidation>
        <x14:dataValidation type="list" allowBlank="1" showInputMessage="1" showErrorMessage="1" promptTitle="Foundation Budget Expenditure" prompt="Select the appropriate Foundation Budget Expenditure Category for the budgeted cost" xr:uid="{00000000-0002-0000-0700-000006000000}">
          <x14:formula1>
            <xm:f>'Category Definitions'!A10:A16</xm:f>
          </x14:formula1>
          <xm:sqref>B45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32"/>
  <sheetViews>
    <sheetView zoomScale="80" zoomScaleNormal="80" workbookViewId="0">
      <selection activeCell="I21" sqref="I21"/>
    </sheetView>
  </sheetViews>
  <sheetFormatPr defaultColWidth="8.85546875" defaultRowHeight="15" x14ac:dyDescent="0.25"/>
  <cols>
    <col min="1" max="1" width="42" bestFit="1" customWidth="1"/>
    <col min="8" max="8" width="3.140625" bestFit="1" customWidth="1"/>
    <col min="9" max="9" width="105.28515625" customWidth="1"/>
  </cols>
  <sheetData>
    <row r="2" spans="1:9" x14ac:dyDescent="0.25">
      <c r="A2" s="20" t="s">
        <v>112</v>
      </c>
      <c r="C2" t="s">
        <v>113</v>
      </c>
    </row>
    <row r="3" spans="1:9" ht="29.25" thickBot="1" x14ac:dyDescent="0.3">
      <c r="A3" t="s">
        <v>51</v>
      </c>
      <c r="C3" s="19" t="s">
        <v>114</v>
      </c>
      <c r="F3" t="s">
        <v>23</v>
      </c>
      <c r="H3" s="13"/>
      <c r="I3" s="52" t="s">
        <v>115</v>
      </c>
    </row>
    <row r="4" spans="1:9" ht="15.75" thickBot="1" x14ac:dyDescent="0.3">
      <c r="A4" t="s">
        <v>39</v>
      </c>
      <c r="C4" t="s">
        <v>116</v>
      </c>
      <c r="F4" t="s">
        <v>55</v>
      </c>
      <c r="H4" s="13"/>
      <c r="I4" s="52" t="s">
        <v>117</v>
      </c>
    </row>
    <row r="5" spans="1:9" ht="15.75" thickBot="1" x14ac:dyDescent="0.3">
      <c r="A5" t="s">
        <v>42</v>
      </c>
      <c r="C5" s="8" t="s">
        <v>52</v>
      </c>
      <c r="H5" s="13"/>
      <c r="I5" s="52" t="s">
        <v>118</v>
      </c>
    </row>
    <row r="6" spans="1:9" ht="15.75" thickBot="1" x14ac:dyDescent="0.3">
      <c r="A6" t="s">
        <v>21</v>
      </c>
      <c r="C6" t="s">
        <v>95</v>
      </c>
      <c r="H6" s="13"/>
      <c r="I6" s="52" t="s">
        <v>119</v>
      </c>
    </row>
    <row r="7" spans="1:9" ht="29.25" thickBot="1" x14ac:dyDescent="0.3">
      <c r="A7" t="s">
        <v>120</v>
      </c>
      <c r="C7" t="s">
        <v>22</v>
      </c>
      <c r="H7" s="13"/>
      <c r="I7" s="52" t="s">
        <v>121</v>
      </c>
    </row>
    <row r="8" spans="1:9" ht="15.75" thickBot="1" x14ac:dyDescent="0.3">
      <c r="A8" t="s">
        <v>122</v>
      </c>
      <c r="C8" t="s">
        <v>35</v>
      </c>
      <c r="H8" s="13"/>
      <c r="I8" s="52" t="s">
        <v>123</v>
      </c>
    </row>
    <row r="9" spans="1:9" ht="15.75" thickBot="1" x14ac:dyDescent="0.3">
      <c r="A9" t="s">
        <v>57</v>
      </c>
      <c r="C9" t="s">
        <v>25</v>
      </c>
      <c r="H9" s="13"/>
      <c r="I9" s="52" t="s">
        <v>124</v>
      </c>
    </row>
    <row r="10" spans="1:9" ht="15.75" thickBot="1" x14ac:dyDescent="0.3">
      <c r="A10" t="s">
        <v>54</v>
      </c>
      <c r="C10" t="s">
        <v>37</v>
      </c>
      <c r="H10" s="13"/>
      <c r="I10" s="52" t="s">
        <v>125</v>
      </c>
    </row>
    <row r="11" spans="1:9" ht="15.75" thickBot="1" x14ac:dyDescent="0.3">
      <c r="A11" t="s">
        <v>34</v>
      </c>
      <c r="C11" t="s">
        <v>126</v>
      </c>
      <c r="H11" s="13"/>
      <c r="I11" s="52" t="s">
        <v>127</v>
      </c>
    </row>
    <row r="12" spans="1:9" ht="15.75" thickBot="1" x14ac:dyDescent="0.3">
      <c r="A12" t="s">
        <v>128</v>
      </c>
      <c r="C12" t="s">
        <v>97</v>
      </c>
      <c r="H12" s="13"/>
      <c r="I12" s="53" t="s">
        <v>129</v>
      </c>
    </row>
    <row r="13" spans="1:9" ht="15.75" thickBot="1" x14ac:dyDescent="0.3">
      <c r="A13" t="s">
        <v>130</v>
      </c>
      <c r="H13" s="13"/>
      <c r="I13" s="52" t="s">
        <v>131</v>
      </c>
    </row>
    <row r="14" spans="1:9" ht="29.25" thickBot="1" x14ac:dyDescent="0.3">
      <c r="A14" t="s">
        <v>94</v>
      </c>
      <c r="H14" s="13"/>
      <c r="I14" s="52" t="s">
        <v>132</v>
      </c>
    </row>
    <row r="15" spans="1:9" ht="15.75" thickBot="1" x14ac:dyDescent="0.3">
      <c r="H15" s="13"/>
      <c r="I15" s="52" t="s">
        <v>133</v>
      </c>
    </row>
    <row r="16" spans="1:9" ht="15.75" thickBot="1" x14ac:dyDescent="0.3">
      <c r="A16" s="19"/>
      <c r="C16" s="17" t="s">
        <v>134</v>
      </c>
      <c r="H16" s="13"/>
      <c r="I16" s="52" t="s">
        <v>135</v>
      </c>
    </row>
    <row r="17" spans="3:9" ht="15.75" thickBot="1" x14ac:dyDescent="0.3">
      <c r="C17" s="17" t="s">
        <v>136</v>
      </c>
      <c r="H17" s="13"/>
      <c r="I17" s="52" t="s">
        <v>137</v>
      </c>
    </row>
    <row r="18" spans="3:9" ht="15.75" thickBot="1" x14ac:dyDescent="0.3">
      <c r="C18" s="17" t="s">
        <v>138</v>
      </c>
      <c r="H18" s="13"/>
      <c r="I18" s="52" t="s">
        <v>139</v>
      </c>
    </row>
    <row r="19" spans="3:9" ht="15.75" thickBot="1" x14ac:dyDescent="0.3">
      <c r="C19" s="17" t="s">
        <v>140</v>
      </c>
      <c r="H19" s="13"/>
      <c r="I19" s="52" t="s">
        <v>141</v>
      </c>
    </row>
    <row r="20" spans="3:9" ht="15.75" thickBot="1" x14ac:dyDescent="0.3">
      <c r="C20" s="17" t="s">
        <v>142</v>
      </c>
      <c r="H20" s="13"/>
      <c r="I20" s="14" t="s">
        <v>143</v>
      </c>
    </row>
    <row r="21" spans="3:9" x14ac:dyDescent="0.25">
      <c r="C21" s="18" t="s">
        <v>144</v>
      </c>
      <c r="I21" s="14"/>
    </row>
    <row r="23" spans="3:9" x14ac:dyDescent="0.25">
      <c r="I23" s="54" t="s">
        <v>84</v>
      </c>
    </row>
    <row r="24" spans="3:9" x14ac:dyDescent="0.25">
      <c r="I24" s="54" t="s">
        <v>108</v>
      </c>
    </row>
    <row r="25" spans="3:9" x14ac:dyDescent="0.25">
      <c r="I25" s="54" t="s">
        <v>45</v>
      </c>
    </row>
    <row r="26" spans="3:9" x14ac:dyDescent="0.25">
      <c r="I26" s="54" t="s">
        <v>44</v>
      </c>
    </row>
    <row r="27" spans="3:9" x14ac:dyDescent="0.25">
      <c r="I27" s="54" t="s">
        <v>30</v>
      </c>
    </row>
    <row r="28" spans="3:9" x14ac:dyDescent="0.25">
      <c r="I28" s="54" t="s">
        <v>29</v>
      </c>
    </row>
    <row r="29" spans="3:9" ht="25.5" x14ac:dyDescent="0.25">
      <c r="I29" s="54" t="s">
        <v>4</v>
      </c>
    </row>
    <row r="30" spans="3:9" x14ac:dyDescent="0.25">
      <c r="I30" s="54" t="s">
        <v>102</v>
      </c>
    </row>
    <row r="31" spans="3:9" x14ac:dyDescent="0.25">
      <c r="I31" s="54" t="s">
        <v>90</v>
      </c>
    </row>
    <row r="32" spans="3:9" x14ac:dyDescent="0.25">
      <c r="I32" s="54" t="s">
        <v>145</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8CCC3D-46F0-4159-A5BE-584D7D916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827464-ACBE-4E99-BBE8-E7F8AB1A4D5B}">
  <ds:schemaRefs>
    <ds:schemaRef ds:uri="http://schemas.microsoft.com/office/2006/metadata/properties"/>
    <ds:schemaRef ds:uri="74c985e4-8962-4ed5-98d9-5522661a816d"/>
    <ds:schemaRef ds:uri="http://purl.org/dc/terms/"/>
    <ds:schemaRef ds:uri="http://schemas.openxmlformats.org/package/2006/metadata/core-properties"/>
    <ds:schemaRef ds:uri="http://purl.org/dc/dcmitype/"/>
    <ds:schemaRef ds:uri="44c63c8a-9b6f-4c60-8cde-76449f385ed7"/>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48F6CB5C-B69E-4AC4-A98D-396738DD0B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Program 2</vt:lpstr>
      <vt:lpstr>2) Program 4</vt:lpstr>
      <vt:lpstr>3) Program 6</vt:lpstr>
      <vt:lpstr>4) Program 7</vt:lpstr>
      <vt:lpstr>5) Program 8</vt:lpstr>
      <vt:lpstr>6) Program 9</vt:lpstr>
      <vt:lpstr>7) Program 10</vt:lpstr>
      <vt:lpstr>8) Program 12</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Chelsea SOA Budget</dc:title>
  <dc:subject/>
  <dc:creator>DESE</dc:creator>
  <cp:keywords/>
  <dc:description/>
  <cp:lastModifiedBy>Zou, Dong (EOE)</cp:lastModifiedBy>
  <cp:revision/>
  <dcterms:created xsi:type="dcterms:W3CDTF">2020-01-15T15:05:58Z</dcterms:created>
  <dcterms:modified xsi:type="dcterms:W3CDTF">2021-04-16T19:31:03Z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